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C:\Users\Tania\AppData\Local\Microsoft\Windows\INetCache\Content.Outlook\T1FIRAL7\"/>
    </mc:Choice>
  </mc:AlternateContent>
  <bookViews>
    <workbookView xWindow="0" yWindow="0" windowWidth="20490" windowHeight="7530" activeTab="3"/>
  </bookViews>
  <sheets>
    <sheet name="wages" sheetId="1" r:id="rId1"/>
    <sheet name="prices" sheetId="3" r:id="rId2"/>
    <sheet name="welfare ratios" sheetId="4" r:id="rId3"/>
    <sheet name="notes" sheetId="2" r:id="rId4"/>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1" l="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6" i="1"/>
  <c r="V35" i="3" l="1"/>
  <c r="V36" i="3" s="1"/>
  <c r="V37" i="3" s="1"/>
  <c r="V38" i="3" s="1"/>
  <c r="V39" i="3" s="1"/>
  <c r="V40" i="3" s="1"/>
  <c r="F35" i="3"/>
  <c r="V33" i="3"/>
  <c r="V34" i="3" s="1"/>
  <c r="K30" i="3"/>
  <c r="K29" i="3"/>
  <c r="W29" i="3" s="1"/>
  <c r="W30" i="3" s="1"/>
  <c r="W31" i="3" s="1"/>
  <c r="W32" i="3" s="1"/>
  <c r="W33" i="3" s="1"/>
  <c r="T28" i="3"/>
  <c r="Q28" i="3"/>
  <c r="M28" i="3"/>
  <c r="X28" i="3" s="1"/>
  <c r="L28" i="3"/>
  <c r="Y28" i="3" s="1"/>
  <c r="K28" i="3"/>
  <c r="W28" i="3" s="1"/>
  <c r="G28" i="3"/>
  <c r="U28" i="3" s="1"/>
  <c r="E28" i="3"/>
  <c r="S28" i="3" s="1"/>
  <c r="AE28" i="3" s="1"/>
  <c r="AG28" i="3" s="1"/>
  <c r="AH28" i="3" s="1"/>
  <c r="D28" i="3"/>
  <c r="R28" i="3" s="1"/>
  <c r="B28" i="3"/>
  <c r="V27" i="3"/>
  <c r="V28" i="3" s="1"/>
  <c r="V29" i="3" s="1"/>
  <c r="V30" i="3" s="1"/>
  <c r="V31" i="3" s="1"/>
  <c r="V32" i="3" s="1"/>
  <c r="U27" i="3"/>
  <c r="T27" i="3"/>
  <c r="Q27" i="3"/>
  <c r="M27" i="3"/>
  <c r="X27" i="3" s="1"/>
  <c r="L27" i="3"/>
  <c r="Y27" i="3" s="1"/>
  <c r="K27" i="3"/>
  <c r="W27" i="3" s="1"/>
  <c r="J27" i="3"/>
  <c r="E27" i="3"/>
  <c r="S27" i="3" s="1"/>
  <c r="D27" i="3"/>
  <c r="R27" i="3" s="1"/>
  <c r="B27" i="3"/>
  <c r="V26" i="3"/>
  <c r="U26" i="3"/>
  <c r="T26" i="3"/>
  <c r="Q26" i="3"/>
  <c r="M26" i="3"/>
  <c r="X26" i="3" s="1"/>
  <c r="L26" i="3"/>
  <c r="Y26" i="3" s="1"/>
  <c r="K26" i="3"/>
  <c r="W26" i="3" s="1"/>
  <c r="J26" i="3"/>
  <c r="E26" i="3"/>
  <c r="S26" i="3" s="1"/>
  <c r="AE26" i="3" s="1"/>
  <c r="AG26" i="3" s="1"/>
  <c r="AH26" i="3" s="1"/>
  <c r="D26" i="3"/>
  <c r="R26" i="3" s="1"/>
  <c r="B26" i="3"/>
  <c r="V25" i="3"/>
  <c r="U25" i="3"/>
  <c r="T25" i="3"/>
  <c r="Q25" i="3"/>
  <c r="M25" i="3"/>
  <c r="X25" i="3" s="1"/>
  <c r="L25" i="3"/>
  <c r="Y25" i="3" s="1"/>
  <c r="K25" i="3"/>
  <c r="W25" i="3" s="1"/>
  <c r="J25" i="3"/>
  <c r="E25" i="3"/>
  <c r="S25" i="3" s="1"/>
  <c r="D25" i="3"/>
  <c r="R25" i="3" s="1"/>
  <c r="B25" i="3"/>
  <c r="X24" i="3"/>
  <c r="V24" i="3"/>
  <c r="U24" i="3"/>
  <c r="T24" i="3"/>
  <c r="Q24" i="3"/>
  <c r="L24" i="3"/>
  <c r="Y24" i="3" s="1"/>
  <c r="K24" i="3"/>
  <c r="W24" i="3" s="1"/>
  <c r="J24" i="3"/>
  <c r="E24" i="3"/>
  <c r="S24" i="3" s="1"/>
  <c r="D24" i="3"/>
  <c r="R24" i="3" s="1"/>
  <c r="B24" i="3"/>
  <c r="V23" i="3"/>
  <c r="T23" i="3"/>
  <c r="Q23" i="3"/>
  <c r="M23" i="3"/>
  <c r="X23" i="3" s="1"/>
  <c r="L23" i="3"/>
  <c r="Y23" i="3" s="1"/>
  <c r="K23" i="3"/>
  <c r="W23" i="3" s="1"/>
  <c r="J23" i="3"/>
  <c r="G23" i="3"/>
  <c r="U23" i="3" s="1"/>
  <c r="E23" i="3"/>
  <c r="S23" i="3" s="1"/>
  <c r="AE23" i="3" s="1"/>
  <c r="AG23" i="3" s="1"/>
  <c r="AH23" i="3" s="1"/>
  <c r="D23" i="3"/>
  <c r="R23" i="3" s="1"/>
  <c r="B23" i="3"/>
  <c r="V22" i="3"/>
  <c r="K22" i="3"/>
  <c r="W22" i="3" s="1"/>
  <c r="J22" i="3"/>
  <c r="X21" i="3"/>
  <c r="V21" i="3"/>
  <c r="U21" i="3"/>
  <c r="T21" i="3"/>
  <c r="Q21" i="3"/>
  <c r="L21" i="3"/>
  <c r="Y21" i="3" s="1"/>
  <c r="K21" i="3"/>
  <c r="W21" i="3" s="1"/>
  <c r="J21" i="3"/>
  <c r="E21" i="3"/>
  <c r="S21" i="3" s="1"/>
  <c r="D21" i="3"/>
  <c r="R21" i="3" s="1"/>
  <c r="B21" i="3"/>
  <c r="X20" i="3"/>
  <c r="V20" i="3"/>
  <c r="U20" i="3"/>
  <c r="T20" i="3"/>
  <c r="Q20" i="3"/>
  <c r="L20" i="3"/>
  <c r="Y20" i="3" s="1"/>
  <c r="K20" i="3"/>
  <c r="W20" i="3" s="1"/>
  <c r="J20" i="3"/>
  <c r="E20" i="3"/>
  <c r="S20" i="3" s="1"/>
  <c r="D20" i="3"/>
  <c r="R20" i="3" s="1"/>
  <c r="B20" i="3"/>
  <c r="X19" i="3"/>
  <c r="X31" i="3" s="1"/>
  <c r="V19" i="3"/>
  <c r="U19" i="3"/>
  <c r="U29" i="3" s="1"/>
  <c r="T19" i="3"/>
  <c r="T40" i="3" s="1"/>
  <c r="Q19" i="3"/>
  <c r="Q31" i="3" s="1"/>
  <c r="L19" i="3"/>
  <c r="Y19" i="3" s="1"/>
  <c r="Y31" i="3" s="1"/>
  <c r="K19" i="3"/>
  <c r="W19" i="3" s="1"/>
  <c r="J19" i="3"/>
  <c r="E19" i="3"/>
  <c r="S19" i="3" s="1"/>
  <c r="D19" i="3"/>
  <c r="R19" i="3" s="1"/>
  <c r="R36" i="3" s="1"/>
  <c r="B19" i="3"/>
  <c r="X18" i="3"/>
  <c r="W18" i="3"/>
  <c r="V18" i="3"/>
  <c r="U18" i="3"/>
  <c r="T18" i="3"/>
  <c r="Q18" i="3"/>
  <c r="L18" i="3"/>
  <c r="Y18" i="3" s="1"/>
  <c r="J18" i="3"/>
  <c r="E18" i="3"/>
  <c r="S18" i="3" s="1"/>
  <c r="D18" i="3"/>
  <c r="R18" i="3" s="1"/>
  <c r="B18" i="3"/>
  <c r="X17" i="3"/>
  <c r="W17" i="3"/>
  <c r="V17" i="3"/>
  <c r="U17" i="3"/>
  <c r="T17" i="3"/>
  <c r="Q17" i="3"/>
  <c r="L17" i="3"/>
  <c r="Y17" i="3" s="1"/>
  <c r="J17" i="3"/>
  <c r="E17" i="3"/>
  <c r="S17" i="3" s="1"/>
  <c r="AE17" i="3" s="1"/>
  <c r="AG17" i="3" s="1"/>
  <c r="AH17" i="3" s="1"/>
  <c r="D17" i="3"/>
  <c r="R17" i="3" s="1"/>
  <c r="B17" i="3"/>
  <c r="X16" i="3"/>
  <c r="W16" i="3"/>
  <c r="V16" i="3"/>
  <c r="U16" i="3"/>
  <c r="T16" i="3"/>
  <c r="Q16" i="3"/>
  <c r="L16" i="3"/>
  <c r="Y16" i="3" s="1"/>
  <c r="J16" i="3"/>
  <c r="E16" i="3"/>
  <c r="S16" i="3" s="1"/>
  <c r="D16" i="3"/>
  <c r="R16" i="3" s="1"/>
  <c r="B16" i="3"/>
  <c r="X15" i="3"/>
  <c r="W15" i="3"/>
  <c r="V15" i="3"/>
  <c r="U15" i="3"/>
  <c r="T15" i="3"/>
  <c r="Q15" i="3"/>
  <c r="L15" i="3"/>
  <c r="Y15" i="3" s="1"/>
  <c r="J15" i="3"/>
  <c r="E15" i="3"/>
  <c r="S15" i="3" s="1"/>
  <c r="D15" i="3"/>
  <c r="R15" i="3" s="1"/>
  <c r="B15" i="3"/>
  <c r="X14" i="3"/>
  <c r="W14" i="3"/>
  <c r="V14" i="3"/>
  <c r="U14" i="3"/>
  <c r="T14" i="3"/>
  <c r="Q14" i="3"/>
  <c r="L14" i="3"/>
  <c r="Y14" i="3" s="1"/>
  <c r="J14" i="3"/>
  <c r="E14" i="3"/>
  <c r="S14" i="3" s="1"/>
  <c r="D14" i="3"/>
  <c r="R14" i="3" s="1"/>
  <c r="B14" i="3"/>
  <c r="X13" i="3"/>
  <c r="W13" i="3"/>
  <c r="V13" i="3"/>
  <c r="U13" i="3"/>
  <c r="T13" i="3"/>
  <c r="Q13" i="3"/>
  <c r="L13" i="3"/>
  <c r="Y13" i="3" s="1"/>
  <c r="J13" i="3"/>
  <c r="E13" i="3"/>
  <c r="S13" i="3" s="1"/>
  <c r="AE13" i="3" s="1"/>
  <c r="AG13" i="3" s="1"/>
  <c r="AH13" i="3" s="1"/>
  <c r="D13" i="3"/>
  <c r="R13" i="3" s="1"/>
  <c r="B13" i="3"/>
  <c r="X12" i="3"/>
  <c r="W12" i="3"/>
  <c r="V12" i="3"/>
  <c r="U12" i="3"/>
  <c r="T12" i="3"/>
  <c r="R12" i="3"/>
  <c r="Q12" i="3"/>
  <c r="L12" i="3"/>
  <c r="Y12" i="3" s="1"/>
  <c r="J12" i="3"/>
  <c r="E12" i="3"/>
  <c r="S12" i="3" s="1"/>
  <c r="AE12" i="3" s="1"/>
  <c r="AG12" i="3" s="1"/>
  <c r="AH12" i="3" s="1"/>
  <c r="D12" i="3"/>
  <c r="B12" i="3"/>
  <c r="X11" i="3"/>
  <c r="W11" i="3"/>
  <c r="V11" i="3"/>
  <c r="U11" i="3"/>
  <c r="T11" i="3"/>
  <c r="Q11" i="3"/>
  <c r="L11" i="3"/>
  <c r="Y11" i="3" s="1"/>
  <c r="J11" i="3"/>
  <c r="E11" i="3"/>
  <c r="S11" i="3" s="1"/>
  <c r="D11" i="3"/>
  <c r="R11" i="3" s="1"/>
  <c r="B11" i="3"/>
  <c r="X10" i="3"/>
  <c r="W10" i="3"/>
  <c r="V10" i="3"/>
  <c r="U10" i="3"/>
  <c r="T10" i="3"/>
  <c r="Q10" i="3"/>
  <c r="L10" i="3"/>
  <c r="Y10" i="3" s="1"/>
  <c r="J10" i="3"/>
  <c r="E10" i="3"/>
  <c r="S10" i="3" s="1"/>
  <c r="D10" i="3"/>
  <c r="R10" i="3" s="1"/>
  <c r="B10" i="3"/>
  <c r="X9" i="3"/>
  <c r="W9" i="3"/>
  <c r="V9" i="3"/>
  <c r="U9" i="3"/>
  <c r="T9" i="3"/>
  <c r="Q9" i="3"/>
  <c r="L9" i="3"/>
  <c r="Y9" i="3" s="1"/>
  <c r="J9" i="3"/>
  <c r="E9" i="3"/>
  <c r="S9" i="3" s="1"/>
  <c r="D9" i="3"/>
  <c r="R9" i="3" s="1"/>
  <c r="B9" i="3"/>
  <c r="X8" i="3"/>
  <c r="W8" i="3"/>
  <c r="V8" i="3"/>
  <c r="U8" i="3"/>
  <c r="T8" i="3"/>
  <c r="Q8" i="3"/>
  <c r="L8" i="3"/>
  <c r="Y8" i="3" s="1"/>
  <c r="J8" i="3"/>
  <c r="E8" i="3"/>
  <c r="S8" i="3" s="1"/>
  <c r="AE8" i="3" s="1"/>
  <c r="AG8" i="3" s="1"/>
  <c r="AH8" i="3" s="1"/>
  <c r="D8" i="3"/>
  <c r="R8" i="3" s="1"/>
  <c r="B8" i="3"/>
  <c r="X7" i="3"/>
  <c r="W7" i="3"/>
  <c r="V7" i="3"/>
  <c r="U7" i="3"/>
  <c r="T7" i="3"/>
  <c r="Q7" i="3"/>
  <c r="AC7" i="3" s="1"/>
  <c r="L7" i="3"/>
  <c r="Y7" i="3" s="1"/>
  <c r="J7" i="3"/>
  <c r="E7" i="3"/>
  <c r="S7" i="3" s="1"/>
  <c r="D7" i="3"/>
  <c r="R7" i="3" s="1"/>
  <c r="AD7" i="3" s="1"/>
  <c r="AE7" i="3" l="1"/>
  <c r="AG7" i="3" s="1"/>
  <c r="AH7" i="3" s="1"/>
  <c r="AE11" i="3"/>
  <c r="AG11" i="3" s="1"/>
  <c r="AH11" i="3" s="1"/>
  <c r="AE16" i="3"/>
  <c r="AG16" i="3" s="1"/>
  <c r="AH16" i="3" s="1"/>
  <c r="AE21" i="3"/>
  <c r="AG21" i="3" s="1"/>
  <c r="AH21" i="3" s="1"/>
  <c r="AH22" i="3" s="1"/>
  <c r="AE27" i="3"/>
  <c r="AG27" i="3" s="1"/>
  <c r="AH27" i="3" s="1"/>
  <c r="AE10" i="3"/>
  <c r="AG10" i="3" s="1"/>
  <c r="AH10" i="3" s="1"/>
  <c r="AE15" i="3"/>
  <c r="AG15" i="3" s="1"/>
  <c r="AH15" i="3" s="1"/>
  <c r="S35" i="3"/>
  <c r="AE19" i="3"/>
  <c r="AG19" i="3" s="1"/>
  <c r="AH19" i="3" s="1"/>
  <c r="AE20" i="3"/>
  <c r="AG20" i="3" s="1"/>
  <c r="AH20" i="3" s="1"/>
  <c r="AE25" i="3"/>
  <c r="AG25" i="3" s="1"/>
  <c r="AH25" i="3" s="1"/>
  <c r="AE9" i="3"/>
  <c r="AG9" i="3" s="1"/>
  <c r="AH9" i="3" s="1"/>
  <c r="AE14" i="3"/>
  <c r="AG14" i="3" s="1"/>
  <c r="AH14" i="3" s="1"/>
  <c r="AE18" i="3"/>
  <c r="AG18" i="3" s="1"/>
  <c r="AH18" i="3" s="1"/>
  <c r="AE24" i="3"/>
  <c r="AG24" i="3" s="1"/>
  <c r="AH24" i="3" s="1"/>
  <c r="W34" i="3"/>
  <c r="AD12" i="3"/>
  <c r="AD23" i="3"/>
  <c r="AC9" i="3"/>
  <c r="AC16" i="3"/>
  <c r="AD11" i="3"/>
  <c r="AD20" i="3"/>
  <c r="AD8" i="3"/>
  <c r="AC10" i="3"/>
  <c r="AC21" i="3"/>
  <c r="AC11" i="3"/>
  <c r="AD13" i="3"/>
  <c r="AC18" i="3"/>
  <c r="AC20" i="3"/>
  <c r="AC24" i="3"/>
  <c r="AC27" i="3"/>
  <c r="X33" i="3"/>
  <c r="AC12" i="3"/>
  <c r="R35" i="3"/>
  <c r="R39" i="3" s="1"/>
  <c r="R40" i="3"/>
  <c r="AD10" i="3"/>
  <c r="AD25" i="3"/>
  <c r="R32" i="3"/>
  <c r="AD18" i="3"/>
  <c r="AD27" i="3"/>
  <c r="R34" i="3"/>
  <c r="T37" i="3"/>
  <c r="AC13" i="3"/>
  <c r="AD21" i="3"/>
  <c r="AC23" i="3"/>
  <c r="AC26" i="3"/>
  <c r="T33" i="3"/>
  <c r="T38" i="3"/>
  <c r="AC8" i="3"/>
  <c r="AC14" i="3"/>
  <c r="AD26" i="3"/>
  <c r="S39" i="3"/>
  <c r="AD24" i="3"/>
  <c r="AD9" i="3"/>
  <c r="AD15" i="3"/>
  <c r="AC28" i="3"/>
  <c r="Q29" i="3"/>
  <c r="R38" i="3"/>
  <c r="R33" i="3"/>
  <c r="R37" i="3"/>
  <c r="AC25" i="3"/>
  <c r="AD28" i="3"/>
  <c r="R29" i="3"/>
  <c r="Y29" i="3"/>
  <c r="S32" i="3"/>
  <c r="S34" i="3"/>
  <c r="U36" i="3"/>
  <c r="U37" i="3"/>
  <c r="U40" i="3"/>
  <c r="AD14" i="3"/>
  <c r="Q35" i="3"/>
  <c r="Q34" i="3"/>
  <c r="Q32" i="3"/>
  <c r="Q30" i="3"/>
  <c r="Q38" i="3"/>
  <c r="Q33" i="3"/>
  <c r="AC19" i="3"/>
  <c r="Y39" i="3"/>
  <c r="Y35" i="3"/>
  <c r="Y34" i="3"/>
  <c r="Y32" i="3"/>
  <c r="Y30" i="3"/>
  <c r="Y38" i="3"/>
  <c r="Y33" i="3"/>
  <c r="R30" i="3"/>
  <c r="R31" i="3"/>
  <c r="S37" i="3"/>
  <c r="S40" i="3"/>
  <c r="S36" i="3"/>
  <c r="S31" i="3"/>
  <c r="S29" i="3"/>
  <c r="AE29" i="3" s="1"/>
  <c r="AG29" i="3" s="1"/>
  <c r="AH29" i="3" s="1"/>
  <c r="AC15" i="3"/>
  <c r="AD16" i="3"/>
  <c r="AD17" i="3"/>
  <c r="AC17" i="3"/>
  <c r="U35" i="3"/>
  <c r="U39" i="3" s="1"/>
  <c r="U34" i="3"/>
  <c r="U32" i="3"/>
  <c r="U30" i="3"/>
  <c r="U38" i="3"/>
  <c r="U33" i="3"/>
  <c r="AD19" i="3"/>
  <c r="S30" i="3"/>
  <c r="U31" i="3"/>
  <c r="S33" i="3"/>
  <c r="AE33" i="3" s="1"/>
  <c r="AG33" i="3" s="1"/>
  <c r="AH33" i="3" s="1"/>
  <c r="Q36" i="3"/>
  <c r="Y36" i="3"/>
  <c r="Q37" i="3"/>
  <c r="Y37" i="3"/>
  <c r="S38" i="3"/>
  <c r="Q40" i="3"/>
  <c r="Y40" i="3"/>
  <c r="T30" i="3"/>
  <c r="X30" i="3"/>
  <c r="T32" i="3"/>
  <c r="X32" i="3"/>
  <c r="T34" i="3"/>
  <c r="X34" i="3"/>
  <c r="T35" i="3"/>
  <c r="T39" i="3" s="1"/>
  <c r="T29" i="3"/>
  <c r="X29" i="3"/>
  <c r="T31" i="3"/>
  <c r="T36" i="3"/>
  <c r="AE30" i="3" l="1"/>
  <c r="AG30" i="3" s="1"/>
  <c r="AH30" i="3" s="1"/>
  <c r="AE32" i="3"/>
  <c r="AG32" i="3" s="1"/>
  <c r="AH32" i="3" s="1"/>
  <c r="AE31" i="3"/>
  <c r="AG31" i="3" s="1"/>
  <c r="AH31" i="3" s="1"/>
  <c r="W35" i="3"/>
  <c r="AE34" i="3"/>
  <c r="AG34" i="3" s="1"/>
  <c r="AH34" i="3" s="1"/>
  <c r="AC31" i="3"/>
  <c r="AD33" i="3"/>
  <c r="AD34" i="3"/>
  <c r="AD32" i="3"/>
  <c r="AD31" i="3"/>
  <c r="AC30" i="3"/>
  <c r="AD29" i="3"/>
  <c r="Q39" i="3"/>
  <c r="AD30" i="3"/>
  <c r="AC32" i="3"/>
  <c r="AC29" i="3"/>
  <c r="X36" i="3"/>
  <c r="X35" i="3"/>
  <c r="AC35" i="3" s="1"/>
  <c r="AC33" i="3"/>
  <c r="AC34" i="3"/>
  <c r="AC36" i="3" l="1"/>
  <c r="W36" i="3"/>
  <c r="AE35" i="3"/>
  <c r="AG35" i="3" s="1"/>
  <c r="AH35" i="3" s="1"/>
  <c r="AD35" i="3"/>
  <c r="X39" i="3"/>
  <c r="AD39" i="3" s="1"/>
  <c r="X38" i="3"/>
  <c r="X37" i="3"/>
  <c r="AD37" i="3" l="1"/>
  <c r="AC37" i="3"/>
  <c r="AC38" i="3"/>
  <c r="W37" i="3"/>
  <c r="AE36" i="3"/>
  <c r="AG36" i="3" s="1"/>
  <c r="AH36" i="3" s="1"/>
  <c r="AC39" i="3"/>
  <c r="AD36" i="3"/>
  <c r="X40" i="3"/>
  <c r="AC40" i="3" l="1"/>
  <c r="W38" i="3"/>
  <c r="AE37" i="3"/>
  <c r="AG37" i="3" s="1"/>
  <c r="AH37" i="3" s="1"/>
  <c r="W39" i="3" l="1"/>
  <c r="AE38" i="3"/>
  <c r="AG38" i="3" s="1"/>
  <c r="AH38" i="3" s="1"/>
  <c r="AD38" i="3"/>
  <c r="W40" i="3" l="1"/>
  <c r="AE39" i="3"/>
  <c r="AG39" i="3" s="1"/>
  <c r="AH39" i="3" s="1"/>
  <c r="AE40" i="3" l="1"/>
  <c r="AG40" i="3" s="1"/>
  <c r="AH40" i="3" s="1"/>
  <c r="AD40" i="3"/>
</calcChain>
</file>

<file path=xl/sharedStrings.xml><?xml version="1.0" encoding="utf-8"?>
<sst xmlns="http://schemas.openxmlformats.org/spreadsheetml/2006/main" count="94" uniqueCount="69">
  <si>
    <t>YEAR</t>
  </si>
  <si>
    <t>Wheat</t>
  </si>
  <si>
    <t>Rice</t>
  </si>
  <si>
    <t>Maize</t>
  </si>
  <si>
    <t>Maize Meal</t>
  </si>
  <si>
    <t>Beef</t>
  </si>
  <si>
    <t>Sugar</t>
  </si>
  <si>
    <t>Salt</t>
  </si>
  <si>
    <t>Palm oil export price British Trade Stat.</t>
  </si>
  <si>
    <t>Palm oil</t>
  </si>
  <si>
    <t>Cotton</t>
  </si>
  <si>
    <t>Kerosine</t>
  </si>
  <si>
    <t>Soap</t>
  </si>
  <si>
    <t>candles</t>
  </si>
  <si>
    <t>Coal</t>
  </si>
  <si>
    <t xml:space="preserve">Palm oil </t>
  </si>
  <si>
    <t>Candles</t>
  </si>
  <si>
    <t xml:space="preserve">Maize Basket </t>
  </si>
  <si>
    <t xml:space="preserve">Rice Basket </t>
  </si>
  <si>
    <t>D/lb</t>
  </si>
  <si>
    <t>D/metre</t>
  </si>
  <si>
    <t>D/lt</t>
  </si>
  <si>
    <t>D/unit</t>
  </si>
  <si>
    <t>(419 lbs)</t>
  </si>
  <si>
    <t>(408 lbs)</t>
  </si>
  <si>
    <t>(6,6 lbs)</t>
  </si>
  <si>
    <t>(4,4 lbs)</t>
  </si>
  <si>
    <t>(3 lt)</t>
  </si>
  <si>
    <t>(3 metre)</t>
  </si>
  <si>
    <t>(2,9 lbs)</t>
  </si>
  <si>
    <t>(180 lbs/ 2 MBTU)</t>
  </si>
  <si>
    <t>subsistence basket (one male adult's annual basket)</t>
  </si>
  <si>
    <t>Coal/firewood</t>
  </si>
  <si>
    <t>10% of subsistence basket</t>
  </si>
  <si>
    <t>subsistence basket without coal and candles</t>
  </si>
  <si>
    <t>Maize Meal basket</t>
  </si>
  <si>
    <t>One adult male (incl. coal and candles)</t>
  </si>
  <si>
    <t>annual maize meal basket price</t>
  </si>
  <si>
    <r>
      <rPr>
        <b/>
        <sz val="10"/>
        <rFont val="Times New Roman"/>
        <family val="1"/>
      </rPr>
      <t xml:space="preserve">Family Basket </t>
    </r>
    <r>
      <rPr>
        <sz val="10"/>
        <rFont val="Times New Roman"/>
        <family val="1"/>
      </rPr>
      <t xml:space="preserve"> (times three)</t>
    </r>
  </si>
  <si>
    <t>annual Family Basket maize meal in D</t>
  </si>
  <si>
    <t>average annual cash wage  in D</t>
  </si>
  <si>
    <t>average annual costs of food rations in D</t>
  </si>
  <si>
    <t>total housing expenses carried by workers (share paying their own housing*1/3 of family basket)</t>
  </si>
  <si>
    <t>Note: after 1950, wages are gradually being paid inclusive (housing is not provided for free anymore). The share of workers not being provided free housing increases in the following years, reaching 100% in 1957. We assume that rent costs 1/3 of the family basket price. The welfare ratio from 1950 is calculated by dividing the wages paid in cash and in kind by the subsistence basket price plus the total housing expenses carried by workers themselves.</t>
  </si>
  <si>
    <t>Blue numbers are interpolated.</t>
  </si>
  <si>
    <t>Notes:</t>
  </si>
  <si>
    <t>Price data for Rhodesian Copperbelt: Colonial Blue Books of Northern Rhodesia, which are retail prices for Livingstone (1929 to 1948) (TNA CO100/30-96)</t>
  </si>
  <si>
    <t>Sources:</t>
  </si>
  <si>
    <r>
      <t>Maize</t>
    </r>
    <r>
      <rPr>
        <sz val="10"/>
        <color theme="1"/>
        <rFont val="Times New Roman"/>
        <family val="1"/>
      </rPr>
      <t>: Colonial Blue Books (1929 to 1948), 1955 report on costs of living by Mufulira Mining Ltd.</t>
    </r>
  </si>
  <si>
    <r>
      <t>Meat :</t>
    </r>
    <r>
      <rPr>
        <sz val="10"/>
        <color theme="1"/>
        <rFont val="Times New Roman"/>
        <family val="1"/>
      </rPr>
      <t xml:space="preserve"> Colonial Blue Books (1929 to 1948), 1955 report on costs of living by Mufulira Mining Ltd.</t>
    </r>
  </si>
  <si>
    <r>
      <t>Palm Oil:</t>
    </r>
    <r>
      <rPr>
        <sz val="10"/>
        <color theme="1"/>
        <rFont val="Times New Roman"/>
        <family val="1"/>
      </rPr>
      <t xml:space="preserve"> British trade statistics, average export price of colonies in Africa, minus 20% margin</t>
    </r>
  </si>
  <si>
    <r>
      <t>Salt:</t>
    </r>
    <r>
      <rPr>
        <sz val="10"/>
        <color theme="1"/>
        <rFont val="Times New Roman"/>
        <family val="1"/>
      </rPr>
      <t xml:space="preserve"> Colonial Blue Books (1929 to 1948), 1955 report on costs of living by Mufulira Mining Ltd.</t>
    </r>
  </si>
  <si>
    <r>
      <t xml:space="preserve">Cotton Cloth: </t>
    </r>
    <r>
      <rPr>
        <sz val="10"/>
        <color theme="1"/>
        <rFont val="Times New Roman"/>
        <family val="1"/>
      </rPr>
      <t>British African import prices reported in British trade statistics, plus 20% margin</t>
    </r>
  </si>
  <si>
    <r>
      <t xml:space="preserve">Soap: </t>
    </r>
    <r>
      <rPr>
        <sz val="10"/>
        <color theme="1"/>
        <rFont val="Times New Roman"/>
        <family val="1"/>
      </rPr>
      <t>Colonial Blue Books (1929 to 1948), 1955 extrapolated</t>
    </r>
  </si>
  <si>
    <r>
      <t xml:space="preserve">Kerosene: </t>
    </r>
    <r>
      <rPr>
        <sz val="10"/>
        <color theme="1"/>
        <rFont val="Times New Roman"/>
        <family val="1"/>
      </rPr>
      <t>Colonial Blue Books (1929 to 1948), 1955 report on costs of living by Mufulira Mining Ltd.</t>
    </r>
  </si>
  <si>
    <r>
      <t xml:space="preserve">Candles: </t>
    </r>
    <r>
      <rPr>
        <sz val="10"/>
        <color theme="1"/>
        <rFont val="Times New Roman"/>
        <family val="1"/>
      </rPr>
      <t>2.5% of total cost of subsistence basket</t>
    </r>
  </si>
  <si>
    <r>
      <t xml:space="preserve">Charcoal: </t>
    </r>
    <r>
      <rPr>
        <sz val="10"/>
        <color theme="1"/>
        <rFont val="Times New Roman"/>
        <family val="1"/>
      </rPr>
      <t>7.5% of total cost of subsistence basket</t>
    </r>
  </si>
  <si>
    <t>Inclusive wages for Africans are introduced gradually after 1950 (source: Year Books of Northern Rhodesia’s Chamber of Mines 1956)</t>
  </si>
  <si>
    <t xml:space="preserve">After 1956 all employees are paid inclusive wages. </t>
  </si>
  <si>
    <t>After 1962 no explicit distinction is made between African and European wages. For African wage we use the 'Unskilled wage'.</t>
  </si>
  <si>
    <t>Wage data (cash and rations) for the Rhodesian Copperbelt : Official report on the mine of Mufulira (1930-1949); Blue Books (1930 to 1940); Year Books of Northern Rhodesia’s Chamber of Mines (1950 to 1960)</t>
  </si>
  <si>
    <t>average wage per worker per year</t>
  </si>
  <si>
    <t>cash wages in D 
(per year)</t>
  </si>
  <si>
    <t>costs of food rations in D (per year)</t>
  </si>
  <si>
    <t>cash wage plus rations in D 
(per year)</t>
  </si>
  <si>
    <t>Zambia retail prices (in Livingstone). Source: Blue Books</t>
  </si>
  <si>
    <t>WELFARE RATIO (maize meal basket)</t>
  </si>
  <si>
    <t>African import prices plus 20%</t>
  </si>
  <si>
    <t>African export prices minus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</si>
</sst>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b/>
      <sz val="11"/>
      <color rgb="FFFA7D00"/>
      <name val="Calibri"/>
      <family val="2"/>
      <scheme val="minor"/>
    </font>
    <font>
      <sz val="10"/>
      <name val="Times New Roman"/>
      <family val="1"/>
      <charset val="204"/>
    </font>
    <font>
      <b/>
      <sz val="10"/>
      <name val="Times New Roman"/>
      <family val="1"/>
    </font>
    <font>
      <sz val="10"/>
      <color theme="1"/>
      <name val="Calibri"/>
      <family val="2"/>
      <scheme val="minor"/>
    </font>
    <font>
      <sz val="10"/>
      <name val="Times New Roman"/>
      <family val="1"/>
    </font>
    <font>
      <sz val="10"/>
      <name val="Calibri"/>
      <family val="2"/>
      <scheme val="minor"/>
    </font>
    <font>
      <sz val="10"/>
      <color theme="1"/>
      <name val="Times New Roman"/>
      <family val="1"/>
    </font>
    <font>
      <sz val="10"/>
      <color theme="4" tint="-0.249977111117893"/>
      <name val="Times New Roman"/>
      <family val="1"/>
    </font>
    <font>
      <sz val="10"/>
      <color rgb="FFFF0000"/>
      <name val="Times New Roman"/>
      <family val="1"/>
    </font>
    <font>
      <b/>
      <sz val="10"/>
      <color theme="1"/>
      <name val="Times New Roman"/>
      <family val="1"/>
    </font>
    <font>
      <b/>
      <sz val="10"/>
      <name val="Calibri"/>
      <family val="2"/>
      <scheme val="minor"/>
    </font>
    <font>
      <sz val="10"/>
      <color theme="3"/>
      <name val="Times New Roman"/>
      <family val="1"/>
    </font>
    <font>
      <i/>
      <sz val="10"/>
      <color theme="1"/>
      <name val="Times New Roman"/>
      <family val="1"/>
    </font>
    <font>
      <b/>
      <sz val="11"/>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rgb="FFF2F2F2"/>
      </patternFill>
    </fill>
    <fill>
      <patternFill patternType="solid">
        <fgColor theme="0" tint="-0.249977111117893"/>
        <bgColor indexed="64"/>
      </patternFill>
    </fill>
    <fill>
      <patternFill patternType="solid">
        <fgColor theme="0" tint="-0.14999847407452621"/>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s>
  <cellStyleXfs count="2">
    <xf numFmtId="0" fontId="0" fillId="0" borderId="0"/>
    <xf numFmtId="0" fontId="1" fillId="2" borderId="1" applyNumberFormat="0" applyAlignment="0" applyProtection="0"/>
  </cellStyleXfs>
  <cellXfs count="90">
    <xf numFmtId="0" fontId="0" fillId="0" borderId="0" xfId="0"/>
    <xf numFmtId="164" fontId="5" fillId="0" borderId="0" xfId="0" applyNumberFormat="1" applyFont="1" applyFill="1" applyBorder="1" applyAlignment="1">
      <alignment vertical="top" wrapText="1"/>
    </xf>
    <xf numFmtId="164" fontId="5" fillId="0" borderId="0" xfId="0" applyNumberFormat="1" applyFont="1" applyFill="1" applyBorder="1"/>
    <xf numFmtId="164" fontId="4" fillId="0" borderId="0" xfId="0" applyNumberFormat="1" applyFont="1" applyFill="1" applyBorder="1"/>
    <xf numFmtId="164" fontId="3" fillId="0" borderId="0" xfId="0" applyNumberFormat="1" applyFont="1" applyFill="1" applyBorder="1" applyAlignment="1">
      <alignment horizontal="center" wrapText="1"/>
    </xf>
    <xf numFmtId="2" fontId="5" fillId="0" borderId="0" xfId="0" applyNumberFormat="1" applyFont="1" applyFill="1"/>
    <xf numFmtId="2" fontId="5" fillId="0" borderId="0" xfId="0" applyNumberFormat="1" applyFont="1" applyAlignment="1">
      <alignment horizontal="center"/>
    </xf>
    <xf numFmtId="164" fontId="5" fillId="0" borderId="0" xfId="0" applyNumberFormat="1" applyFont="1" applyAlignment="1">
      <alignment horizontal="center"/>
    </xf>
    <xf numFmtId="0" fontId="5" fillId="0" borderId="0" xfId="0" applyFont="1" applyAlignment="1">
      <alignment horizontal="center"/>
    </xf>
    <xf numFmtId="164" fontId="3" fillId="0" borderId="0" xfId="0" applyNumberFormat="1" applyFont="1" applyBorder="1" applyAlignment="1">
      <alignment horizontal="center"/>
    </xf>
    <xf numFmtId="164" fontId="5" fillId="0" borderId="0" xfId="0" applyNumberFormat="1" applyFont="1" applyFill="1" applyBorder="1" applyAlignment="1">
      <alignment horizontal="center" wrapText="1"/>
    </xf>
    <xf numFmtId="2" fontId="5" fillId="0" borderId="0" xfId="0" applyNumberFormat="1" applyFont="1" applyFill="1" applyBorder="1" applyAlignment="1">
      <alignment horizontal="center" vertical="top" wrapText="1"/>
    </xf>
    <xf numFmtId="164" fontId="3" fillId="0" borderId="0" xfId="0" applyNumberFormat="1" applyFont="1" applyAlignment="1">
      <alignment horizontal="center" wrapText="1"/>
    </xf>
    <xf numFmtId="164" fontId="3" fillId="0" borderId="0" xfId="0" applyNumberFormat="1" applyFont="1" applyFill="1" applyAlignment="1">
      <alignment horizontal="center" wrapText="1"/>
    </xf>
    <xf numFmtId="4" fontId="7" fillId="0" borderId="0" xfId="0" applyNumberFormat="1" applyFont="1" applyBorder="1"/>
    <xf numFmtId="4" fontId="7" fillId="0" borderId="0" xfId="0" applyNumberFormat="1" applyFont="1" applyFill="1"/>
    <xf numFmtId="4" fontId="5" fillId="0" borderId="0" xfId="0" applyNumberFormat="1" applyFont="1" applyFill="1" applyAlignment="1">
      <alignment vertical="top" wrapText="1"/>
    </xf>
    <xf numFmtId="0" fontId="5" fillId="0" borderId="0" xfId="0" applyFont="1" applyFill="1"/>
    <xf numFmtId="0" fontId="9" fillId="0" borderId="0" xfId="0" applyFont="1" applyFill="1"/>
    <xf numFmtId="0" fontId="7" fillId="0" borderId="0" xfId="0" applyFont="1" applyAlignment="1">
      <alignment horizontal="center"/>
    </xf>
    <xf numFmtId="0" fontId="7" fillId="0" borderId="0" xfId="0" applyFont="1"/>
    <xf numFmtId="0" fontId="7" fillId="0" borderId="0" xfId="0" applyFont="1" applyBorder="1"/>
    <xf numFmtId="0" fontId="5" fillId="0" borderId="0" xfId="0" applyFont="1" applyFill="1" applyAlignment="1">
      <alignment horizontal="center"/>
    </xf>
    <xf numFmtId="2" fontId="5" fillId="0" borderId="0" xfId="0" applyNumberFormat="1" applyFont="1" applyAlignment="1">
      <alignment horizontal="center" wrapText="1"/>
    </xf>
    <xf numFmtId="2" fontId="5" fillId="0" borderId="0" xfId="0" applyNumberFormat="1" applyFont="1" applyFill="1" applyAlignment="1">
      <alignment horizontal="center" wrapText="1"/>
    </xf>
    <xf numFmtId="2" fontId="7" fillId="0" borderId="0" xfId="0" applyNumberFormat="1" applyFont="1"/>
    <xf numFmtId="0" fontId="7" fillId="0" borderId="0" xfId="0" applyFont="1" applyFill="1"/>
    <xf numFmtId="0" fontId="3" fillId="0" borderId="0" xfId="0" applyFont="1" applyAlignment="1">
      <alignment horizontal="left"/>
    </xf>
    <xf numFmtId="2" fontId="7" fillId="0" borderId="0" xfId="0" applyNumberFormat="1" applyFont="1" applyBorder="1"/>
    <xf numFmtId="4" fontId="7" fillId="0" borderId="0" xfId="0" applyNumberFormat="1" applyFont="1"/>
    <xf numFmtId="4" fontId="5" fillId="0" borderId="0" xfId="0" applyNumberFormat="1" applyFont="1" applyFill="1"/>
    <xf numFmtId="4" fontId="5" fillId="0" borderId="0" xfId="0" applyNumberFormat="1" applyFont="1" applyFill="1" applyBorder="1"/>
    <xf numFmtId="4" fontId="7" fillId="0" borderId="0" xfId="0" applyNumberFormat="1" applyFont="1" applyFill="1" applyBorder="1"/>
    <xf numFmtId="4" fontId="5" fillId="0" borderId="0" xfId="0" applyNumberFormat="1" applyFont="1" applyBorder="1"/>
    <xf numFmtId="4" fontId="9" fillId="0" borderId="0" xfId="0" applyNumberFormat="1" applyFont="1" applyBorder="1"/>
    <xf numFmtId="2" fontId="7" fillId="0" borderId="0" xfId="0" applyNumberFormat="1" applyFont="1" applyFill="1" applyBorder="1"/>
    <xf numFmtId="0" fontId="5" fillId="0" borderId="0" xfId="0" applyFont="1"/>
    <xf numFmtId="4" fontId="11" fillId="0" borderId="1" xfId="1" applyNumberFormat="1" applyFont="1" applyFill="1"/>
    <xf numFmtId="0" fontId="12" fillId="0" borderId="0" xfId="0" applyFont="1"/>
    <xf numFmtId="2" fontId="11" fillId="0" borderId="1" xfId="1" applyNumberFormat="1" applyFont="1" applyFill="1"/>
    <xf numFmtId="0" fontId="7" fillId="0" borderId="0" xfId="0" applyFont="1" applyBorder="1" applyAlignment="1">
      <alignment horizontal="center"/>
    </xf>
    <xf numFmtId="164" fontId="5" fillId="0" borderId="0" xfId="0" applyNumberFormat="1" applyFont="1" applyBorder="1" applyAlignment="1">
      <alignment horizontal="center"/>
    </xf>
    <xf numFmtId="164" fontId="5" fillId="0" borderId="0" xfId="0" applyNumberFormat="1" applyFont="1" applyBorder="1" applyAlignment="1">
      <alignment horizontal="center" wrapText="1"/>
    </xf>
    <xf numFmtId="0" fontId="3" fillId="0" borderId="0" xfId="0" applyFont="1" applyBorder="1" applyAlignment="1"/>
    <xf numFmtId="0" fontId="10" fillId="0" borderId="0" xfId="0" applyFont="1" applyFill="1" applyBorder="1" applyAlignment="1">
      <alignment horizontal="center"/>
    </xf>
    <xf numFmtId="164" fontId="5" fillId="0" borderId="0" xfId="0" applyNumberFormat="1" applyFont="1" applyFill="1" applyBorder="1" applyAlignment="1">
      <alignment horizontal="center"/>
    </xf>
    <xf numFmtId="0" fontId="7" fillId="0" borderId="0" xfId="0" applyFont="1" applyFill="1" applyBorder="1"/>
    <xf numFmtId="0" fontId="7" fillId="0" borderId="0" xfId="0" applyFont="1" applyFill="1" applyBorder="1" applyAlignment="1">
      <alignment horizontal="center" wrapText="1"/>
    </xf>
    <xf numFmtId="164" fontId="3" fillId="0" borderId="0" xfId="0" applyNumberFormat="1" applyFont="1" applyBorder="1" applyAlignment="1">
      <alignment horizontal="center" wrapText="1"/>
    </xf>
    <xf numFmtId="0" fontId="3" fillId="0" borderId="0" xfId="0" applyFont="1" applyBorder="1" applyAlignment="1">
      <alignment horizontal="center" wrapText="1"/>
    </xf>
    <xf numFmtId="0" fontId="10" fillId="0" borderId="0" xfId="0" applyFont="1" applyAlignment="1"/>
    <xf numFmtId="4" fontId="8" fillId="0" borderId="0" xfId="0" applyNumberFormat="1" applyFont="1" applyFill="1"/>
    <xf numFmtId="2" fontId="8" fillId="0" borderId="0" xfId="0" applyNumberFormat="1" applyFont="1" applyBorder="1"/>
    <xf numFmtId="2" fontId="5" fillId="0" borderId="0" xfId="0" applyNumberFormat="1" applyFont="1" applyFill="1" applyBorder="1" applyAlignment="1">
      <alignment horizontal="center" wrapText="1"/>
    </xf>
    <xf numFmtId="0" fontId="10" fillId="0" borderId="0" xfId="0" applyFont="1" applyAlignment="1">
      <alignment vertical="center"/>
    </xf>
    <xf numFmtId="0" fontId="7" fillId="0" borderId="0" xfId="0" applyFont="1" applyAlignment="1">
      <alignment vertical="center"/>
    </xf>
    <xf numFmtId="0" fontId="13" fillId="0" borderId="0" xfId="0" applyFont="1" applyAlignment="1">
      <alignment vertical="center"/>
    </xf>
    <xf numFmtId="0" fontId="4" fillId="0" borderId="0" xfId="0" applyFont="1"/>
    <xf numFmtId="0" fontId="10" fillId="0" borderId="0" xfId="0" applyFont="1"/>
    <xf numFmtId="0" fontId="4" fillId="0" borderId="0" xfId="0" applyFont="1" applyFill="1" applyBorder="1"/>
    <xf numFmtId="164" fontId="3" fillId="0" borderId="0" xfId="0" applyNumberFormat="1" applyFont="1" applyFill="1" applyBorder="1" applyAlignment="1">
      <alignment vertical="center" wrapText="1"/>
    </xf>
    <xf numFmtId="1" fontId="5" fillId="0" borderId="0" xfId="0" applyNumberFormat="1" applyFont="1" applyFill="1" applyBorder="1"/>
    <xf numFmtId="3" fontId="2" fillId="0" borderId="0" xfId="0" applyNumberFormat="1" applyFont="1" applyFill="1" applyBorder="1" applyAlignment="1">
      <alignment vertical="top" wrapText="1"/>
    </xf>
    <xf numFmtId="1" fontId="5" fillId="0" borderId="0" xfId="0" applyNumberFormat="1" applyFont="1" applyFill="1" applyBorder="1" applyAlignment="1">
      <alignment vertical="top" wrapText="1"/>
    </xf>
    <xf numFmtId="1" fontId="4" fillId="0" borderId="0" xfId="0" applyNumberFormat="1" applyFont="1" applyFill="1" applyBorder="1"/>
    <xf numFmtId="1" fontId="3" fillId="0" borderId="0" xfId="0" applyNumberFormat="1" applyFont="1" applyFill="1" applyBorder="1" applyAlignment="1">
      <alignment wrapText="1"/>
    </xf>
    <xf numFmtId="1" fontId="6" fillId="0" borderId="0" xfId="0" applyNumberFormat="1" applyFont="1" applyFill="1" applyBorder="1"/>
    <xf numFmtId="0" fontId="4" fillId="0" borderId="0" xfId="0" applyFont="1" applyFill="1" applyBorder="1" applyAlignment="1"/>
    <xf numFmtId="4" fontId="5" fillId="0" borderId="2" xfId="0" applyNumberFormat="1" applyFont="1" applyBorder="1" applyAlignment="1">
      <alignment horizontal="center"/>
    </xf>
    <xf numFmtId="4" fontId="7" fillId="0" borderId="2" xfId="0" applyNumberFormat="1" applyFont="1" applyBorder="1"/>
    <xf numFmtId="4" fontId="8" fillId="0" borderId="2" xfId="0" applyNumberFormat="1" applyFont="1" applyBorder="1"/>
    <xf numFmtId="0" fontId="7" fillId="0" borderId="0" xfId="0" applyFont="1" applyFill="1" applyBorder="1" applyAlignment="1">
      <alignment horizontal="center"/>
    </xf>
    <xf numFmtId="0" fontId="10" fillId="0" borderId="0" xfId="0" applyFont="1" applyFill="1"/>
    <xf numFmtId="0" fontId="15" fillId="0" borderId="0" xfId="0" applyFont="1" applyFill="1" applyBorder="1" applyAlignment="1"/>
    <xf numFmtId="1" fontId="3" fillId="0" borderId="0" xfId="0" applyNumberFormat="1" applyFont="1" applyFill="1" applyBorder="1"/>
    <xf numFmtId="1" fontId="3" fillId="0" borderId="0" xfId="0" applyNumberFormat="1" applyFont="1" applyFill="1" applyBorder="1" applyAlignment="1">
      <alignment vertical="top" wrapText="1"/>
    </xf>
    <xf numFmtId="0" fontId="15" fillId="0" borderId="0" xfId="0" applyFont="1" applyFill="1" applyBorder="1"/>
    <xf numFmtId="0" fontId="14" fillId="0" borderId="0" xfId="0" applyFont="1" applyBorder="1"/>
    <xf numFmtId="0" fontId="10" fillId="0" borderId="0" xfId="0" applyFont="1" applyFill="1" applyBorder="1" applyAlignment="1">
      <alignment horizontal="center"/>
    </xf>
    <xf numFmtId="0" fontId="10" fillId="0" borderId="0" xfId="0" applyFont="1" applyBorder="1" applyAlignment="1">
      <alignment horizontal="center" wrapText="1"/>
    </xf>
    <xf numFmtId="0" fontId="7" fillId="4" borderId="0" xfId="0" applyFont="1" applyFill="1" applyAlignment="1">
      <alignment horizontal="center" wrapText="1"/>
    </xf>
    <xf numFmtId="0" fontId="5" fillId="3" borderId="0" xfId="0" applyFont="1" applyFill="1" applyAlignment="1">
      <alignment horizontal="center" wrapText="1"/>
    </xf>
    <xf numFmtId="0" fontId="7" fillId="3" borderId="0" xfId="0" applyFont="1" applyFill="1" applyAlignment="1">
      <alignment horizontal="center" wrapText="1"/>
    </xf>
    <xf numFmtId="0" fontId="10" fillId="0" borderId="0" xfId="0" applyFont="1" applyAlignment="1">
      <alignment horizontal="center"/>
    </xf>
    <xf numFmtId="0" fontId="7" fillId="0" borderId="0" xfId="0" applyFont="1" applyAlignment="1">
      <alignment horizontal="center"/>
    </xf>
    <xf numFmtId="0" fontId="10" fillId="0" borderId="2" xfId="0" applyFont="1" applyBorder="1" applyAlignment="1">
      <alignment horizontal="center"/>
    </xf>
    <xf numFmtId="0" fontId="10" fillId="0" borderId="0" xfId="0" applyFont="1" applyBorder="1" applyAlignment="1">
      <alignment horizontal="center"/>
    </xf>
    <xf numFmtId="0" fontId="3" fillId="0" borderId="0" xfId="0" applyFont="1" applyAlignment="1">
      <alignment horizontal="left" vertical="center" wrapText="1"/>
    </xf>
    <xf numFmtId="0" fontId="7" fillId="0" borderId="0" xfId="0" applyFont="1" applyFill="1" applyBorder="1" applyAlignment="1">
      <alignment horizontal="left"/>
    </xf>
    <xf numFmtId="0" fontId="8" fillId="0" borderId="0" xfId="0" applyFont="1" applyFill="1" applyBorder="1" applyAlignment="1">
      <alignment horizontal="left"/>
    </xf>
  </cellXfs>
  <cellStyles count="2">
    <cellStyle name="Cálculo" xfId="1" builtinId="2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workbookViewId="0">
      <selection activeCell="H32" sqref="H32"/>
    </sheetView>
  </sheetViews>
  <sheetFormatPr baseColWidth="10" defaultColWidth="9.140625" defaultRowHeight="15" x14ac:dyDescent="0.25"/>
  <cols>
    <col min="1" max="1" width="9.140625" style="77"/>
    <col min="2" max="4" width="9.7109375" style="3" customWidth="1"/>
    <col min="5" max="5" width="9.7109375" style="64" customWidth="1"/>
    <col min="6" max="7" width="9.7109375" style="3" customWidth="1"/>
    <col min="8" max="16384" width="9.140625" style="59"/>
  </cols>
  <sheetData>
    <row r="1" spans="1:7" ht="15" customHeight="1" x14ac:dyDescent="0.2">
      <c r="A1" s="73"/>
      <c r="B1" s="78" t="s">
        <v>61</v>
      </c>
      <c r="C1" s="78"/>
      <c r="D1" s="78"/>
      <c r="E1" s="67"/>
      <c r="F1" s="65"/>
      <c r="G1" s="65"/>
    </row>
    <row r="2" spans="1:7" ht="93.75" customHeight="1" x14ac:dyDescent="0.2">
      <c r="A2" s="60" t="s">
        <v>0</v>
      </c>
      <c r="B2" s="1" t="s">
        <v>62</v>
      </c>
      <c r="C2" s="1" t="s">
        <v>63</v>
      </c>
      <c r="D2" s="1" t="s">
        <v>64</v>
      </c>
      <c r="E2" s="63"/>
      <c r="F2" s="59"/>
      <c r="G2" s="59"/>
    </row>
    <row r="3" spans="1:7" ht="12.75" x14ac:dyDescent="0.2">
      <c r="A3" s="74">
        <v>1927</v>
      </c>
      <c r="B3" s="1"/>
      <c r="C3" s="1"/>
      <c r="D3" s="1"/>
      <c r="E3" s="63"/>
      <c r="F3" s="62"/>
      <c r="G3" s="59"/>
    </row>
    <row r="4" spans="1:7" ht="14.25" customHeight="1" x14ac:dyDescent="0.2">
      <c r="A4" s="74">
        <v>1928</v>
      </c>
      <c r="B4" s="16"/>
      <c r="C4" s="16"/>
      <c r="D4" s="16"/>
      <c r="E4" s="16"/>
      <c r="F4" s="62"/>
      <c r="G4" s="59"/>
    </row>
    <row r="5" spans="1:7" ht="12.75" x14ac:dyDescent="0.2">
      <c r="A5" s="74">
        <v>1929</v>
      </c>
      <c r="B5" s="16"/>
      <c r="C5" s="16"/>
      <c r="D5" s="16"/>
      <c r="E5" s="16"/>
      <c r="F5" s="62"/>
      <c r="G5" s="59"/>
    </row>
    <row r="6" spans="1:7" ht="12.75" x14ac:dyDescent="0.2">
      <c r="A6" s="74">
        <v>1930</v>
      </c>
      <c r="B6" s="16">
        <v>2983.9680000000003</v>
      </c>
      <c r="C6" s="16">
        <v>2036.4675298172576</v>
      </c>
      <c r="D6" s="16">
        <f>SUM(B6:C6)</f>
        <v>5020.4355298172577</v>
      </c>
      <c r="E6" s="16"/>
      <c r="F6" s="62"/>
      <c r="G6" s="59"/>
    </row>
    <row r="7" spans="1:7" ht="12.75" x14ac:dyDescent="0.2">
      <c r="A7" s="74">
        <v>1931</v>
      </c>
      <c r="B7" s="16">
        <v>3096.288</v>
      </c>
      <c r="C7" s="16">
        <v>2036.4675298172576</v>
      </c>
      <c r="D7" s="16">
        <f t="shared" ref="D7:D36" si="0">SUM(B7:C7)</f>
        <v>5132.7555298172574</v>
      </c>
      <c r="E7" s="16"/>
      <c r="F7" s="59"/>
      <c r="G7" s="59"/>
    </row>
    <row r="8" spans="1:7" ht="12.75" x14ac:dyDescent="0.2">
      <c r="A8" s="74">
        <v>1932</v>
      </c>
      <c r="B8" s="16">
        <v>3718.5407999999998</v>
      </c>
      <c r="C8" s="16">
        <v>2036.4675298172576</v>
      </c>
      <c r="D8" s="16">
        <f t="shared" si="0"/>
        <v>5755.0083298172576</v>
      </c>
      <c r="E8" s="16"/>
      <c r="F8" s="59"/>
      <c r="G8" s="59"/>
    </row>
    <row r="9" spans="1:7" ht="12.75" x14ac:dyDescent="0.2">
      <c r="A9" s="74">
        <v>1933</v>
      </c>
      <c r="B9" s="16">
        <v>3481.92</v>
      </c>
      <c r="C9" s="16">
        <v>2036.4675298172576</v>
      </c>
      <c r="D9" s="16">
        <f t="shared" si="0"/>
        <v>5518.3875298172579</v>
      </c>
      <c r="E9" s="16"/>
      <c r="F9" s="59"/>
      <c r="G9" s="59"/>
    </row>
    <row r="10" spans="1:7" ht="12.75" x14ac:dyDescent="0.2">
      <c r="A10" s="74">
        <v>1934</v>
      </c>
      <c r="B10" s="16">
        <v>3294.7200000000003</v>
      </c>
      <c r="C10" s="16">
        <v>2036.4675298172576</v>
      </c>
      <c r="D10" s="16">
        <f t="shared" si="0"/>
        <v>5331.1875298172581</v>
      </c>
      <c r="E10" s="16"/>
      <c r="F10" s="59"/>
      <c r="G10" s="59"/>
    </row>
    <row r="11" spans="1:7" ht="12.75" x14ac:dyDescent="0.2">
      <c r="A11" s="74">
        <v>1935</v>
      </c>
      <c r="B11" s="16">
        <v>3429.5040000000004</v>
      </c>
      <c r="C11" s="16">
        <v>2036.4675298172576</v>
      </c>
      <c r="D11" s="16">
        <f t="shared" si="0"/>
        <v>5465.9715298172578</v>
      </c>
      <c r="E11" s="16"/>
      <c r="F11" s="59"/>
      <c r="G11" s="59"/>
    </row>
    <row r="12" spans="1:7" ht="12.75" x14ac:dyDescent="0.2">
      <c r="A12" s="74">
        <v>1936</v>
      </c>
      <c r="B12" s="16">
        <v>3680.3519999999999</v>
      </c>
      <c r="C12" s="16">
        <v>1439.9999999999995</v>
      </c>
      <c r="D12" s="16">
        <f t="shared" si="0"/>
        <v>5120.351999999999</v>
      </c>
      <c r="E12" s="16"/>
      <c r="F12" s="59"/>
      <c r="G12" s="59"/>
    </row>
    <row r="13" spans="1:7" ht="12.75" x14ac:dyDescent="0.2">
      <c r="A13" s="74">
        <v>1937</v>
      </c>
      <c r="B13" s="16">
        <v>3714.0480000000002</v>
      </c>
      <c r="C13" s="16">
        <v>1439.9999999999995</v>
      </c>
      <c r="D13" s="16">
        <f t="shared" si="0"/>
        <v>5154.0479999999998</v>
      </c>
      <c r="E13" s="16"/>
      <c r="F13" s="59"/>
      <c r="G13" s="59"/>
    </row>
    <row r="14" spans="1:7" ht="12.75" x14ac:dyDescent="0.2">
      <c r="A14" s="74">
        <v>1938</v>
      </c>
      <c r="B14" s="16">
        <v>3672.864</v>
      </c>
      <c r="C14" s="16">
        <v>1439.9999999999995</v>
      </c>
      <c r="D14" s="16">
        <f t="shared" si="0"/>
        <v>5112.8639999999996</v>
      </c>
      <c r="E14" s="16"/>
      <c r="F14" s="59"/>
      <c r="G14" s="59"/>
    </row>
    <row r="15" spans="1:7" ht="12.75" x14ac:dyDescent="0.2">
      <c r="A15" s="74">
        <v>1939</v>
      </c>
      <c r="B15" s="16">
        <v>3699.0719999999997</v>
      </c>
      <c r="C15" s="16">
        <v>1439.9999999999995</v>
      </c>
      <c r="D15" s="16">
        <f t="shared" si="0"/>
        <v>5139.0719999999992</v>
      </c>
      <c r="E15" s="16"/>
      <c r="F15" s="59"/>
      <c r="G15" s="59"/>
    </row>
    <row r="16" spans="1:7" ht="12.75" x14ac:dyDescent="0.2">
      <c r="A16" s="74">
        <v>1940</v>
      </c>
      <c r="B16" s="16">
        <v>3620.4480000000003</v>
      </c>
      <c r="C16" s="16">
        <v>1763.6326148038879</v>
      </c>
      <c r="D16" s="16">
        <f t="shared" si="0"/>
        <v>5384.0806148038882</v>
      </c>
      <c r="E16" s="16"/>
      <c r="F16" s="59"/>
      <c r="G16" s="59"/>
    </row>
    <row r="17" spans="1:7" ht="12.75" x14ac:dyDescent="0.2">
      <c r="A17" s="74">
        <v>1941</v>
      </c>
      <c r="B17" s="16">
        <v>4904.6400000000003</v>
      </c>
      <c r="C17" s="16">
        <v>2474.7840000000001</v>
      </c>
      <c r="D17" s="16">
        <f t="shared" si="0"/>
        <v>7379.4240000000009</v>
      </c>
      <c r="E17" s="16"/>
      <c r="F17" s="59"/>
      <c r="G17" s="59"/>
    </row>
    <row r="18" spans="1:7" ht="12.75" x14ac:dyDescent="0.2">
      <c r="A18" s="74">
        <v>1942</v>
      </c>
      <c r="B18" s="16">
        <v>5256.576</v>
      </c>
      <c r="C18" s="16">
        <v>2669.4719999999998</v>
      </c>
      <c r="D18" s="16">
        <f t="shared" si="0"/>
        <v>7926.0479999999998</v>
      </c>
      <c r="E18" s="16"/>
      <c r="F18" s="59"/>
      <c r="G18" s="59"/>
    </row>
    <row r="19" spans="1:7" ht="12.75" x14ac:dyDescent="0.2">
      <c r="A19" s="74">
        <v>1943</v>
      </c>
      <c r="B19" s="16">
        <v>5556.0959999999995</v>
      </c>
      <c r="C19" s="16">
        <v>2980.2240000000002</v>
      </c>
      <c r="D19" s="16">
        <f t="shared" si="0"/>
        <v>8536.32</v>
      </c>
      <c r="E19" s="16"/>
      <c r="F19" s="59"/>
      <c r="G19" s="59"/>
    </row>
    <row r="20" spans="1:7" ht="12.75" x14ac:dyDescent="0.2">
      <c r="A20" s="74">
        <v>1944</v>
      </c>
      <c r="B20" s="16">
        <v>5541.12</v>
      </c>
      <c r="C20" s="16">
        <v>3028.8960000000002</v>
      </c>
      <c r="D20" s="16">
        <f t="shared" si="0"/>
        <v>8570.0159999999996</v>
      </c>
      <c r="E20" s="16"/>
      <c r="F20" s="59"/>
      <c r="G20" s="59"/>
    </row>
    <row r="21" spans="1:7" ht="12.75" x14ac:dyDescent="0.2">
      <c r="A21" s="74">
        <v>1945</v>
      </c>
      <c r="B21" s="16">
        <v>5799.4559999999992</v>
      </c>
      <c r="C21" s="16">
        <v>3773.9519999999998</v>
      </c>
      <c r="D21" s="16">
        <f t="shared" si="0"/>
        <v>9573.4079999999994</v>
      </c>
      <c r="E21" s="16"/>
      <c r="F21" s="59"/>
      <c r="G21" s="59"/>
    </row>
    <row r="22" spans="1:7" ht="12.75" x14ac:dyDescent="0.2">
      <c r="A22" s="74">
        <v>1946</v>
      </c>
      <c r="B22" s="16">
        <v>6353.5680000000011</v>
      </c>
      <c r="C22" s="16">
        <v>3897.5039999999999</v>
      </c>
      <c r="D22" s="16">
        <f t="shared" si="0"/>
        <v>10251.072</v>
      </c>
      <c r="E22" s="16"/>
      <c r="F22" s="59"/>
      <c r="G22" s="59"/>
    </row>
    <row r="23" spans="1:7" ht="12.75" x14ac:dyDescent="0.2">
      <c r="A23" s="74">
        <v>1947</v>
      </c>
      <c r="B23" s="16">
        <v>7031.2319999999991</v>
      </c>
      <c r="C23" s="16">
        <v>3949.9199999999996</v>
      </c>
      <c r="D23" s="16">
        <f t="shared" si="0"/>
        <v>10981.151999999998</v>
      </c>
      <c r="E23" s="16"/>
      <c r="F23" s="59"/>
      <c r="G23" s="59"/>
    </row>
    <row r="24" spans="1:7" ht="12.75" x14ac:dyDescent="0.2">
      <c r="A24" s="74">
        <v>1948</v>
      </c>
      <c r="B24" s="16">
        <v>8173.152</v>
      </c>
      <c r="C24" s="16">
        <v>3916.2240000000002</v>
      </c>
      <c r="D24" s="16">
        <f t="shared" si="0"/>
        <v>12089.376</v>
      </c>
      <c r="E24" s="16"/>
      <c r="F24" s="59"/>
      <c r="G24" s="59"/>
    </row>
    <row r="25" spans="1:7" ht="12.75" x14ac:dyDescent="0.2">
      <c r="A25" s="74">
        <v>1949</v>
      </c>
      <c r="B25" s="16">
        <v>8629.9200000000019</v>
      </c>
      <c r="C25" s="16">
        <v>4657.5360000000001</v>
      </c>
      <c r="D25" s="16">
        <f t="shared" si="0"/>
        <v>13287.456000000002</v>
      </c>
      <c r="E25" s="16"/>
      <c r="F25" s="59"/>
      <c r="G25" s="59"/>
    </row>
    <row r="26" spans="1:7" ht="12.75" x14ac:dyDescent="0.2">
      <c r="A26" s="75">
        <v>1950</v>
      </c>
      <c r="B26" s="16">
        <v>9541.9612799448478</v>
      </c>
      <c r="C26" s="16">
        <v>5047.0040788188653</v>
      </c>
      <c r="D26" s="16">
        <f t="shared" si="0"/>
        <v>14588.965358763713</v>
      </c>
      <c r="E26" s="16"/>
      <c r="F26" s="59"/>
      <c r="G26" s="59"/>
    </row>
    <row r="27" spans="1:7" ht="12.75" x14ac:dyDescent="0.2">
      <c r="A27" s="75">
        <v>1951</v>
      </c>
      <c r="B27" s="16">
        <v>13128.884624068636</v>
      </c>
      <c r="C27" s="16">
        <v>5616.6177466696772</v>
      </c>
      <c r="D27" s="16">
        <f t="shared" si="0"/>
        <v>18745.502370738315</v>
      </c>
      <c r="E27" s="16"/>
      <c r="F27" s="59"/>
      <c r="G27" s="59"/>
    </row>
    <row r="28" spans="1:7" ht="12.75" x14ac:dyDescent="0.2">
      <c r="A28" s="75">
        <v>1952</v>
      </c>
      <c r="B28" s="16">
        <v>14247.103741682122</v>
      </c>
      <c r="C28" s="16">
        <v>6466.5626704483475</v>
      </c>
      <c r="D28" s="16">
        <f t="shared" si="0"/>
        <v>20713.666412130471</v>
      </c>
      <c r="E28" s="16"/>
      <c r="F28" s="59"/>
      <c r="G28" s="59"/>
    </row>
    <row r="29" spans="1:7" ht="12.75" x14ac:dyDescent="0.2">
      <c r="A29" s="75">
        <v>1953</v>
      </c>
      <c r="B29" s="16">
        <v>22492.87409743547</v>
      </c>
      <c r="C29" s="16">
        <v>7187.8429745207077</v>
      </c>
      <c r="D29" s="16">
        <f t="shared" si="0"/>
        <v>29680.717071956176</v>
      </c>
      <c r="E29" s="16"/>
      <c r="F29" s="59"/>
      <c r="G29" s="59"/>
    </row>
    <row r="30" spans="1:7" ht="12.75" x14ac:dyDescent="0.2">
      <c r="A30" s="75">
        <v>1954</v>
      </c>
      <c r="B30" s="16">
        <v>22168.855429785173</v>
      </c>
      <c r="C30" s="16">
        <v>7448.5887129298517</v>
      </c>
      <c r="D30" s="16">
        <f t="shared" si="0"/>
        <v>29617.444142715023</v>
      </c>
      <c r="E30" s="16"/>
      <c r="F30" s="59"/>
      <c r="G30" s="59"/>
    </row>
    <row r="31" spans="1:7" ht="12.75" x14ac:dyDescent="0.2">
      <c r="A31" s="75">
        <v>1955</v>
      </c>
      <c r="B31" s="16">
        <v>24436.591173879686</v>
      </c>
      <c r="C31" s="16">
        <v>7778.4047057486277</v>
      </c>
      <c r="D31" s="16">
        <f t="shared" si="0"/>
        <v>32214.995879628314</v>
      </c>
      <c r="E31" s="16"/>
      <c r="F31" s="59"/>
      <c r="G31" s="59"/>
    </row>
    <row r="32" spans="1:7" ht="12.75" x14ac:dyDescent="0.2">
      <c r="A32" s="75">
        <v>1956</v>
      </c>
      <c r="B32" s="16">
        <v>33694.475214551043</v>
      </c>
      <c r="C32" s="16">
        <v>4708.992442679646</v>
      </c>
      <c r="D32" s="16">
        <f t="shared" si="0"/>
        <v>38403.467657230693</v>
      </c>
      <c r="E32" s="16"/>
      <c r="F32" s="59"/>
      <c r="G32" s="59"/>
    </row>
    <row r="33" spans="1:7" ht="12.75" x14ac:dyDescent="0.2">
      <c r="A33" s="75">
        <v>1957</v>
      </c>
      <c r="B33" s="16">
        <v>43651.432551660095</v>
      </c>
      <c r="C33" s="16">
        <v>1805.7240151691044</v>
      </c>
      <c r="D33" s="16">
        <f t="shared" si="0"/>
        <v>45457.156566829202</v>
      </c>
      <c r="E33" s="16"/>
      <c r="F33" s="59"/>
      <c r="G33" s="59"/>
    </row>
    <row r="34" spans="1:7" ht="12.75" x14ac:dyDescent="0.2">
      <c r="A34" s="75">
        <v>1958</v>
      </c>
      <c r="B34" s="16">
        <v>47448.201774871603</v>
      </c>
      <c r="C34" s="16">
        <v>322.41943017281642</v>
      </c>
      <c r="D34" s="16">
        <f t="shared" si="0"/>
        <v>47770.621205044416</v>
      </c>
      <c r="E34" s="16"/>
      <c r="F34" s="59"/>
      <c r="G34" s="59"/>
    </row>
    <row r="35" spans="1:7" ht="12.75" x14ac:dyDescent="0.2">
      <c r="A35" s="75">
        <v>1959</v>
      </c>
      <c r="B35" s="16">
        <v>52063.640696608622</v>
      </c>
      <c r="C35" s="16">
        <v>183.58203483043081</v>
      </c>
      <c r="D35" s="16">
        <f t="shared" si="0"/>
        <v>52247.222731439055</v>
      </c>
      <c r="E35" s="16"/>
      <c r="F35" s="59"/>
      <c r="G35" s="59"/>
    </row>
    <row r="36" spans="1:7" ht="12.75" x14ac:dyDescent="0.2">
      <c r="A36" s="75">
        <v>1960</v>
      </c>
      <c r="B36" s="16">
        <v>61701.789779808896</v>
      </c>
      <c r="C36" s="16">
        <v>297.47901952638136</v>
      </c>
      <c r="D36" s="16">
        <f t="shared" si="0"/>
        <v>61999.268799335281</v>
      </c>
      <c r="E36" s="16"/>
      <c r="F36" s="59"/>
      <c r="G36" s="59"/>
    </row>
    <row r="37" spans="1:7" ht="12.75" x14ac:dyDescent="0.2">
      <c r="A37" s="75"/>
      <c r="B37" s="16"/>
      <c r="C37" s="16"/>
      <c r="D37" s="16"/>
      <c r="E37" s="16"/>
      <c r="F37" s="59"/>
      <c r="G37" s="59"/>
    </row>
    <row r="38" spans="1:7" ht="12.75" x14ac:dyDescent="0.2">
      <c r="A38" s="75"/>
      <c r="B38" s="16"/>
      <c r="C38" s="16"/>
      <c r="D38" s="16"/>
      <c r="E38" s="16"/>
      <c r="F38" s="59"/>
      <c r="G38" s="59"/>
    </row>
    <row r="39" spans="1:7" ht="12.75" x14ac:dyDescent="0.2">
      <c r="A39" s="75"/>
      <c r="B39" s="2"/>
      <c r="C39" s="2"/>
      <c r="D39" s="2"/>
      <c r="E39" s="61"/>
      <c r="F39" s="59"/>
      <c r="G39" s="59"/>
    </row>
    <row r="40" spans="1:7" ht="12.75" x14ac:dyDescent="0.2">
      <c r="A40" s="76"/>
      <c r="E40" s="66"/>
      <c r="G40" s="59"/>
    </row>
    <row r="41" spans="1:7" ht="12.75" x14ac:dyDescent="0.2">
      <c r="A41" s="76"/>
      <c r="E41" s="66"/>
      <c r="G41" s="59"/>
    </row>
  </sheetData>
  <mergeCells count="1">
    <mergeCell ref="B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60"/>
  <sheetViews>
    <sheetView topLeftCell="G1" workbookViewId="0">
      <selection activeCell="V4" sqref="V4:V6"/>
    </sheetView>
  </sheetViews>
  <sheetFormatPr baseColWidth="10" defaultColWidth="9.140625" defaultRowHeight="12.75" x14ac:dyDescent="0.2"/>
  <cols>
    <col min="1" max="1" width="9.7109375" style="58" customWidth="1"/>
    <col min="2" max="16" width="9.7109375" style="20" customWidth="1"/>
    <col min="17" max="17" width="9.7109375" style="69" customWidth="1"/>
    <col min="18" max="26" width="9.7109375" style="20" customWidth="1"/>
    <col min="27" max="30" width="9.7109375" style="21" customWidth="1"/>
    <col min="31" max="34" width="9.7109375" style="20" customWidth="1"/>
    <col min="35" max="35" width="9.7109375" style="21" customWidth="1"/>
    <col min="36" max="36" width="9.7109375" style="25" customWidth="1"/>
    <col min="37" max="39" width="9.7109375" style="5" customWidth="1"/>
    <col min="40" max="41" width="9.7109375" style="17" customWidth="1"/>
    <col min="42" max="42" width="9.7109375" style="26" customWidth="1"/>
    <col min="43" max="43" width="9.7109375" style="20" customWidth="1"/>
    <col min="44" max="44" width="9.7109375" style="46" customWidth="1"/>
    <col min="45" max="50" width="9.7109375" style="21" customWidth="1"/>
    <col min="51" max="61" width="9.140625" style="21"/>
    <col min="62" max="16384" width="9.140625" style="20"/>
  </cols>
  <sheetData>
    <row r="1" spans="1:50" ht="15" customHeight="1" x14ac:dyDescent="0.2">
      <c r="A1" s="72"/>
      <c r="B1" s="83" t="s">
        <v>65</v>
      </c>
      <c r="C1" s="84"/>
      <c r="D1" s="84"/>
      <c r="E1" s="84"/>
      <c r="F1" s="84"/>
      <c r="G1" s="84"/>
      <c r="H1" s="84"/>
      <c r="I1" s="84"/>
      <c r="J1" s="84"/>
      <c r="K1" s="84"/>
      <c r="L1" s="84"/>
      <c r="M1" s="84"/>
      <c r="N1" s="19"/>
      <c r="O1" s="19"/>
      <c r="Q1" s="85" t="s">
        <v>31</v>
      </c>
      <c r="R1" s="86"/>
      <c r="S1" s="86"/>
      <c r="T1" s="86"/>
      <c r="U1" s="86"/>
      <c r="V1" s="86"/>
      <c r="W1" s="86"/>
      <c r="X1" s="86"/>
      <c r="Y1" s="86"/>
      <c r="Z1" s="86"/>
      <c r="AA1" s="86"/>
      <c r="AB1" s="44"/>
      <c r="AC1" s="79" t="s">
        <v>34</v>
      </c>
      <c r="AD1" s="79"/>
      <c r="AE1" s="79"/>
      <c r="AF1" s="19"/>
      <c r="AG1" s="50" t="s">
        <v>37</v>
      </c>
      <c r="AH1" s="50"/>
      <c r="AI1" s="50"/>
      <c r="AJ1" s="19"/>
      <c r="AK1" s="22"/>
      <c r="AL1" s="22"/>
      <c r="AM1" s="22"/>
      <c r="AN1" s="22"/>
      <c r="AO1" s="22"/>
      <c r="AP1" s="19"/>
      <c r="AQ1" s="19"/>
      <c r="AR1" s="71"/>
      <c r="AS1" s="40"/>
      <c r="AT1" s="40"/>
      <c r="AU1" s="40"/>
      <c r="AV1" s="40"/>
      <c r="AW1" s="40"/>
    </row>
    <row r="2" spans="1:50" ht="12.75" customHeight="1" x14ac:dyDescent="0.2">
      <c r="B2" s="6" t="s">
        <v>1</v>
      </c>
      <c r="C2" s="6" t="s">
        <v>2</v>
      </c>
      <c r="D2" s="6" t="s">
        <v>3</v>
      </c>
      <c r="E2" s="6" t="s">
        <v>4</v>
      </c>
      <c r="F2" s="6" t="s">
        <v>5</v>
      </c>
      <c r="G2" s="6" t="s">
        <v>6</v>
      </c>
      <c r="H2" s="6" t="s">
        <v>7</v>
      </c>
      <c r="I2" s="6" t="s">
        <v>8</v>
      </c>
      <c r="J2" s="6" t="s">
        <v>9</v>
      </c>
      <c r="K2" s="6" t="s">
        <v>10</v>
      </c>
      <c r="L2" s="7" t="s">
        <v>11</v>
      </c>
      <c r="M2" s="6" t="s">
        <v>12</v>
      </c>
      <c r="N2" s="6" t="s">
        <v>13</v>
      </c>
      <c r="O2" s="6" t="s">
        <v>14</v>
      </c>
      <c r="P2" s="8"/>
      <c r="Q2" s="68" t="s">
        <v>2</v>
      </c>
      <c r="R2" s="7" t="s">
        <v>3</v>
      </c>
      <c r="S2" s="7" t="s">
        <v>4</v>
      </c>
      <c r="T2" s="7" t="s">
        <v>5</v>
      </c>
      <c r="U2" s="7" t="s">
        <v>6</v>
      </c>
      <c r="V2" s="7" t="s">
        <v>15</v>
      </c>
      <c r="W2" s="7" t="s">
        <v>10</v>
      </c>
      <c r="X2" s="7" t="s">
        <v>12</v>
      </c>
      <c r="Y2" s="7" t="s">
        <v>11</v>
      </c>
      <c r="Z2" s="7" t="s">
        <v>16</v>
      </c>
      <c r="AA2" s="41" t="s">
        <v>32</v>
      </c>
      <c r="AB2" s="45"/>
      <c r="AC2" s="79"/>
      <c r="AD2" s="79"/>
      <c r="AE2" s="79"/>
      <c r="AF2" s="43"/>
      <c r="AG2" s="43"/>
      <c r="AH2" s="43"/>
      <c r="AI2" s="43"/>
      <c r="AJ2" s="43"/>
      <c r="AK2" s="43"/>
      <c r="AL2" s="43"/>
      <c r="AM2" s="43"/>
      <c r="AN2" s="43"/>
      <c r="AO2" s="43"/>
      <c r="AP2" s="43"/>
      <c r="AQ2" s="43"/>
      <c r="AR2" s="43"/>
      <c r="AS2" s="43"/>
      <c r="AT2" s="43"/>
      <c r="AU2" s="43"/>
      <c r="AV2" s="43"/>
      <c r="AW2" s="43"/>
      <c r="AX2" s="43"/>
    </row>
    <row r="3" spans="1:50" ht="80.25" customHeight="1" x14ac:dyDescent="0.2">
      <c r="A3" s="58" t="s">
        <v>0</v>
      </c>
      <c r="B3" s="6" t="s">
        <v>19</v>
      </c>
      <c r="C3" s="6" t="s">
        <v>19</v>
      </c>
      <c r="D3" s="6" t="s">
        <v>19</v>
      </c>
      <c r="E3" s="6" t="s">
        <v>19</v>
      </c>
      <c r="F3" s="6" t="s">
        <v>19</v>
      </c>
      <c r="G3" s="6" t="s">
        <v>19</v>
      </c>
      <c r="H3" s="6" t="s">
        <v>19</v>
      </c>
      <c r="I3" s="6" t="s">
        <v>19</v>
      </c>
      <c r="J3" s="6" t="s">
        <v>19</v>
      </c>
      <c r="K3" s="6" t="s">
        <v>20</v>
      </c>
      <c r="L3" s="6" t="s">
        <v>21</v>
      </c>
      <c r="M3" s="6" t="s">
        <v>19</v>
      </c>
      <c r="N3" s="6" t="s">
        <v>22</v>
      </c>
      <c r="O3" s="6" t="s">
        <v>19</v>
      </c>
      <c r="P3" s="8"/>
      <c r="Q3" s="68" t="s">
        <v>23</v>
      </c>
      <c r="R3" s="7" t="s">
        <v>24</v>
      </c>
      <c r="S3" s="7" t="s">
        <v>24</v>
      </c>
      <c r="T3" s="7" t="s">
        <v>25</v>
      </c>
      <c r="U3" s="7" t="s">
        <v>26</v>
      </c>
      <c r="V3" s="7" t="s">
        <v>27</v>
      </c>
      <c r="W3" s="7" t="s">
        <v>28</v>
      </c>
      <c r="X3" s="7" t="s">
        <v>29</v>
      </c>
      <c r="Y3" s="7" t="s">
        <v>27</v>
      </c>
      <c r="Z3" s="7" t="s">
        <v>29</v>
      </c>
      <c r="AA3" s="42" t="s">
        <v>30</v>
      </c>
      <c r="AB3" s="10"/>
      <c r="AC3" s="48" t="s">
        <v>18</v>
      </c>
      <c r="AD3" s="48" t="s">
        <v>17</v>
      </c>
      <c r="AE3" s="49" t="s">
        <v>35</v>
      </c>
      <c r="AF3" s="9"/>
      <c r="AG3" s="42" t="s">
        <v>36</v>
      </c>
      <c r="AH3" s="24" t="s">
        <v>38</v>
      </c>
      <c r="AI3" s="10"/>
      <c r="AJ3" s="23"/>
      <c r="AK3" s="24"/>
      <c r="AL3" s="24"/>
      <c r="AM3" s="24"/>
      <c r="AN3" s="24"/>
      <c r="AO3" s="24"/>
      <c r="AP3" s="11"/>
      <c r="AQ3" s="12"/>
      <c r="AR3" s="4"/>
      <c r="AS3" s="48"/>
      <c r="AT3" s="42"/>
      <c r="AU3" s="42"/>
      <c r="AV3" s="42"/>
      <c r="AW3" s="42"/>
      <c r="AX3" s="42"/>
    </row>
    <row r="4" spans="1:50" ht="15" customHeight="1" x14ac:dyDescent="0.2">
      <c r="A4" s="27"/>
      <c r="J4" s="80" t="s">
        <v>68</v>
      </c>
      <c r="K4" s="81" t="s">
        <v>67</v>
      </c>
      <c r="V4" s="80" t="s">
        <v>68</v>
      </c>
      <c r="W4" s="81" t="s">
        <v>67</v>
      </c>
      <c r="Z4" s="82" t="s">
        <v>33</v>
      </c>
      <c r="AA4" s="82"/>
      <c r="AB4" s="47"/>
    </row>
    <row r="5" spans="1:50" ht="15" customHeight="1" x14ac:dyDescent="0.2">
      <c r="A5" s="27"/>
      <c r="J5" s="80"/>
      <c r="K5" s="81"/>
      <c r="V5" s="80"/>
      <c r="W5" s="81"/>
      <c r="Z5" s="82"/>
      <c r="AA5" s="82"/>
      <c r="AB5" s="47"/>
    </row>
    <row r="6" spans="1:50" ht="15" customHeight="1" x14ac:dyDescent="0.2">
      <c r="A6" s="27"/>
      <c r="J6" s="80"/>
      <c r="K6" s="81"/>
      <c r="V6" s="80"/>
      <c r="W6" s="81"/>
      <c r="Z6" s="82"/>
      <c r="AA6" s="82"/>
      <c r="AB6" s="47"/>
    </row>
    <row r="7" spans="1:50" x14ac:dyDescent="0.2">
      <c r="A7" s="27">
        <v>1927</v>
      </c>
      <c r="B7" s="28">
        <v>4.5599999999999996</v>
      </c>
      <c r="C7" s="28">
        <v>6</v>
      </c>
      <c r="D7" s="28">
        <f>(19*12+3)/100</f>
        <v>2.31</v>
      </c>
      <c r="E7" s="28">
        <f>(12*20)/100</f>
        <v>2.4</v>
      </c>
      <c r="F7" s="28">
        <v>9</v>
      </c>
      <c r="G7" s="28">
        <v>5.5</v>
      </c>
      <c r="I7" s="28">
        <v>3.3621299301847301</v>
      </c>
      <c r="J7" s="28">
        <f t="shared" ref="J7:J27" si="0">0.8*I7</f>
        <v>2.6897039441477841</v>
      </c>
      <c r="K7" s="6">
        <v>12.234913685383955</v>
      </c>
      <c r="L7" s="28">
        <f>(4*12+1.5)/3.5</f>
        <v>14.142857142857142</v>
      </c>
      <c r="M7" s="28">
        <v>10</v>
      </c>
      <c r="N7" s="28"/>
      <c r="O7" s="28"/>
      <c r="Q7" s="69">
        <f t="shared" ref="Q7:Q21" si="1">C7*419</f>
        <v>2514</v>
      </c>
      <c r="R7" s="28">
        <f t="shared" ref="R7:R21" si="2">D7*408</f>
        <v>942.48</v>
      </c>
      <c r="S7" s="28">
        <f t="shared" ref="S7:S21" si="3">E7*408</f>
        <v>979.19999999999993</v>
      </c>
      <c r="T7" s="28">
        <f t="shared" ref="T7:T21" si="4">F7*6.6</f>
        <v>59.4</v>
      </c>
      <c r="U7" s="28">
        <f t="shared" ref="U7:U21" si="5">G7*4.4</f>
        <v>24.200000000000003</v>
      </c>
      <c r="V7" s="28">
        <f t="shared" ref="V7:V27" si="6">I7*3</f>
        <v>10.08638979055419</v>
      </c>
      <c r="W7" s="28">
        <f t="shared" ref="W7:W29" si="7">3*K7</f>
        <v>36.70474105615186</v>
      </c>
      <c r="X7" s="28">
        <f t="shared" ref="X7:X21" si="8">M7*2.9</f>
        <v>29</v>
      </c>
      <c r="Y7" s="28">
        <f t="shared" ref="Y7:Y21" si="9">L7*3</f>
        <v>42.428571428571431</v>
      </c>
      <c r="Z7" s="28"/>
      <c r="AC7" s="14">
        <f t="shared" ref="AC7:AC21" si="10">Q7+T7+U7+X7+Y7</f>
        <v>2669.0285714285715</v>
      </c>
      <c r="AD7" s="14">
        <f t="shared" ref="AD7:AD21" si="11">R7+T7+U7+X7+Y7+V7+W7</f>
        <v>1144.2997022752772</v>
      </c>
      <c r="AE7" s="29">
        <f>SUM(S7:Y7)</f>
        <v>1181.0197022752773</v>
      </c>
      <c r="AF7" s="29"/>
      <c r="AG7" s="29">
        <f>AE7*1.1</f>
        <v>1299.121672502805</v>
      </c>
      <c r="AH7" s="29">
        <f>AG7*3</f>
        <v>3897.3650175084149</v>
      </c>
      <c r="AI7" s="14"/>
      <c r="AJ7" s="29"/>
      <c r="AK7" s="30"/>
      <c r="AL7" s="30"/>
      <c r="AM7" s="30"/>
      <c r="AN7" s="31"/>
      <c r="AO7" s="16"/>
      <c r="AP7" s="32"/>
      <c r="AS7" s="33"/>
    </row>
    <row r="8" spans="1:50" x14ac:dyDescent="0.2">
      <c r="A8" s="27">
        <v>1928</v>
      </c>
      <c r="B8" s="28">
        <f>(20*12+18*12)/100</f>
        <v>4.5599999999999996</v>
      </c>
      <c r="C8" s="28">
        <v>5</v>
      </c>
      <c r="D8" s="28">
        <f>17*12/200</f>
        <v>1.02</v>
      </c>
      <c r="E8" s="28">
        <f>(17*12)/180</f>
        <v>1.1333333333333333</v>
      </c>
      <c r="F8" s="28">
        <v>9</v>
      </c>
      <c r="G8" s="28">
        <v>5.5</v>
      </c>
      <c r="I8" s="28">
        <v>3.1320075295607723</v>
      </c>
      <c r="J8" s="28">
        <f t="shared" si="0"/>
        <v>2.505606023648618</v>
      </c>
      <c r="K8" s="6">
        <v>13.214738187421631</v>
      </c>
      <c r="L8" s="28">
        <f>(3*12+9)/3.5</f>
        <v>12.857142857142858</v>
      </c>
      <c r="M8" s="28">
        <v>12</v>
      </c>
      <c r="N8" s="28"/>
      <c r="O8" s="28"/>
      <c r="Q8" s="69">
        <f t="shared" si="1"/>
        <v>2095</v>
      </c>
      <c r="R8" s="28">
        <f t="shared" si="2"/>
        <v>416.16</v>
      </c>
      <c r="S8" s="28">
        <f t="shared" si="3"/>
        <v>462.4</v>
      </c>
      <c r="T8" s="28">
        <f t="shared" si="4"/>
        <v>59.4</v>
      </c>
      <c r="U8" s="28">
        <f t="shared" si="5"/>
        <v>24.200000000000003</v>
      </c>
      <c r="V8" s="28">
        <f t="shared" si="6"/>
        <v>9.3960225886823174</v>
      </c>
      <c r="W8" s="28">
        <f t="shared" si="7"/>
        <v>39.644214562264892</v>
      </c>
      <c r="X8" s="28">
        <f t="shared" si="8"/>
        <v>34.799999999999997</v>
      </c>
      <c r="Y8" s="28">
        <f t="shared" si="9"/>
        <v>38.571428571428569</v>
      </c>
      <c r="Z8" s="28"/>
      <c r="AC8" s="14">
        <f t="shared" si="10"/>
        <v>2251.9714285714285</v>
      </c>
      <c r="AD8" s="14">
        <f t="shared" si="11"/>
        <v>622.17166572237568</v>
      </c>
      <c r="AE8" s="29">
        <f t="shared" ref="AE8:AE35" si="12">SUM(S8:Y8)</f>
        <v>668.41166572237569</v>
      </c>
      <c r="AF8" s="29"/>
      <c r="AG8" s="29">
        <f t="shared" ref="AG8:AG35" si="13">AE8*1.1</f>
        <v>735.25283229461331</v>
      </c>
      <c r="AH8" s="29">
        <f t="shared" ref="AH8:AH40" si="14">AG8*3</f>
        <v>2205.7584968838401</v>
      </c>
      <c r="AI8" s="14"/>
      <c r="AJ8" s="29"/>
      <c r="AK8" s="30"/>
      <c r="AL8" s="30"/>
      <c r="AM8" s="30"/>
      <c r="AN8" s="31"/>
      <c r="AO8" s="16"/>
      <c r="AP8" s="32"/>
      <c r="AS8" s="33"/>
      <c r="AV8" s="14"/>
      <c r="AW8" s="14"/>
    </row>
    <row r="9" spans="1:50" x14ac:dyDescent="0.2">
      <c r="A9" s="27">
        <v>1929</v>
      </c>
      <c r="B9" s="28">
        <f>(20*12+18*12)/100</f>
        <v>4.5599999999999996</v>
      </c>
      <c r="C9" s="28">
        <v>5</v>
      </c>
      <c r="D9" s="28">
        <f>17*12/200</f>
        <v>1.02</v>
      </c>
      <c r="E9" s="28">
        <f>(17*12)/180</f>
        <v>1.1333333333333333</v>
      </c>
      <c r="F9" s="28">
        <v>9</v>
      </c>
      <c r="G9" s="28">
        <v>5.5</v>
      </c>
      <c r="I9" s="28">
        <v>3.307681045786921</v>
      </c>
      <c r="J9" s="28">
        <f t="shared" si="0"/>
        <v>2.6461448366295368</v>
      </c>
      <c r="K9" s="6">
        <v>11.555951768853667</v>
      </c>
      <c r="L9" s="28">
        <f>(3*12+9)/3.5</f>
        <v>12.857142857142858</v>
      </c>
      <c r="M9" s="28">
        <v>12</v>
      </c>
      <c r="N9" s="28"/>
      <c r="O9" s="28"/>
      <c r="Q9" s="69">
        <f t="shared" si="1"/>
        <v>2095</v>
      </c>
      <c r="R9" s="28">
        <f t="shared" si="2"/>
        <v>416.16</v>
      </c>
      <c r="S9" s="28">
        <f t="shared" si="3"/>
        <v>462.4</v>
      </c>
      <c r="T9" s="28">
        <f t="shared" si="4"/>
        <v>59.4</v>
      </c>
      <c r="U9" s="28">
        <f t="shared" si="5"/>
        <v>24.200000000000003</v>
      </c>
      <c r="V9" s="28">
        <f t="shared" si="6"/>
        <v>9.9230431373607626</v>
      </c>
      <c r="W9" s="28">
        <f t="shared" si="7"/>
        <v>34.667855306561002</v>
      </c>
      <c r="X9" s="28">
        <f t="shared" si="8"/>
        <v>34.799999999999997</v>
      </c>
      <c r="Y9" s="28">
        <f t="shared" si="9"/>
        <v>38.571428571428569</v>
      </c>
      <c r="Z9" s="28"/>
      <c r="AC9" s="14">
        <f t="shared" si="10"/>
        <v>2251.9714285714285</v>
      </c>
      <c r="AD9" s="14">
        <f t="shared" si="11"/>
        <v>617.72232701535029</v>
      </c>
      <c r="AE9" s="29">
        <f t="shared" si="12"/>
        <v>663.9623270153503</v>
      </c>
      <c r="AF9" s="29"/>
      <c r="AG9" s="29">
        <f t="shared" si="13"/>
        <v>730.35855971688534</v>
      </c>
      <c r="AH9" s="29">
        <f t="shared" si="14"/>
        <v>2191.075679150656</v>
      </c>
      <c r="AI9" s="14"/>
      <c r="AJ9" s="29"/>
      <c r="AK9" s="30"/>
      <c r="AL9" s="30"/>
      <c r="AM9" s="30"/>
      <c r="AN9" s="31"/>
      <c r="AO9" s="16"/>
      <c r="AP9" s="32"/>
      <c r="AS9" s="33"/>
      <c r="AV9" s="14"/>
      <c r="AW9" s="14"/>
    </row>
    <row r="10" spans="1:50" x14ac:dyDescent="0.2">
      <c r="A10" s="27">
        <v>1930</v>
      </c>
      <c r="B10" s="28">
        <f>(20*12+11*12+6)/100</f>
        <v>3.78</v>
      </c>
      <c r="C10" s="28">
        <v>4</v>
      </c>
      <c r="D10" s="28">
        <f>(16*12+9)/200</f>
        <v>1.0049999999999999</v>
      </c>
      <c r="E10" s="28">
        <f>(16*12+9)/180</f>
        <v>1.1166666666666667</v>
      </c>
      <c r="F10" s="28">
        <v>9</v>
      </c>
      <c r="G10" s="28">
        <v>5</v>
      </c>
      <c r="I10" s="28">
        <v>2.9532150591531883</v>
      </c>
      <c r="J10" s="28">
        <f t="shared" si="0"/>
        <v>2.3625720473225509</v>
      </c>
      <c r="K10" s="6">
        <v>9.931465511451993</v>
      </c>
      <c r="L10" s="28">
        <f>(3*12+1.5)/3.5</f>
        <v>10.714285714285714</v>
      </c>
      <c r="M10" s="28">
        <v>10</v>
      </c>
      <c r="N10" s="28"/>
      <c r="O10" s="28"/>
      <c r="Q10" s="69">
        <f t="shared" si="1"/>
        <v>1676</v>
      </c>
      <c r="R10" s="28">
        <f t="shared" si="2"/>
        <v>410.03999999999996</v>
      </c>
      <c r="S10" s="28">
        <f t="shared" si="3"/>
        <v>455.6</v>
      </c>
      <c r="T10" s="28">
        <f t="shared" si="4"/>
        <v>59.4</v>
      </c>
      <c r="U10" s="28">
        <f t="shared" si="5"/>
        <v>22</v>
      </c>
      <c r="V10" s="28">
        <f t="shared" si="6"/>
        <v>8.8596451774595657</v>
      </c>
      <c r="W10" s="28">
        <f t="shared" si="7"/>
        <v>29.794396534355979</v>
      </c>
      <c r="X10" s="28">
        <f t="shared" si="8"/>
        <v>29</v>
      </c>
      <c r="Y10" s="28">
        <f t="shared" si="9"/>
        <v>32.142857142857139</v>
      </c>
      <c r="Z10" s="28"/>
      <c r="AC10" s="14">
        <f t="shared" si="10"/>
        <v>1818.5428571428572</v>
      </c>
      <c r="AD10" s="14">
        <f t="shared" si="11"/>
        <v>591.23689885467263</v>
      </c>
      <c r="AE10" s="29">
        <f t="shared" si="12"/>
        <v>636.79689885467269</v>
      </c>
      <c r="AF10" s="29"/>
      <c r="AG10" s="29">
        <f t="shared" si="13"/>
        <v>700.47658874013996</v>
      </c>
      <c r="AH10" s="29">
        <f t="shared" si="14"/>
        <v>2101.4297662204199</v>
      </c>
      <c r="AI10" s="14"/>
      <c r="AJ10" s="29"/>
      <c r="AK10" s="30"/>
      <c r="AL10" s="30"/>
      <c r="AM10" s="30"/>
      <c r="AN10" s="16"/>
      <c r="AO10" s="16"/>
      <c r="AP10" s="14"/>
      <c r="AQ10" s="33"/>
      <c r="AR10" s="31"/>
      <c r="AS10" s="34"/>
      <c r="AT10" s="14"/>
      <c r="AU10" s="14"/>
      <c r="AV10" s="14"/>
      <c r="AW10" s="14"/>
      <c r="AX10" s="14"/>
    </row>
    <row r="11" spans="1:50" x14ac:dyDescent="0.2">
      <c r="A11" s="27">
        <v>1931</v>
      </c>
      <c r="B11" s="28">
        <f>(20*12+11*12+6)/100</f>
        <v>3.78</v>
      </c>
      <c r="C11" s="28">
        <v>6</v>
      </c>
      <c r="D11" s="28">
        <f>(16*12+9)/200</f>
        <v>1.0049999999999999</v>
      </c>
      <c r="E11" s="28">
        <f>(12*16+9)/180</f>
        <v>1.1166666666666667</v>
      </c>
      <c r="F11" s="28">
        <v>9</v>
      </c>
      <c r="G11" s="28">
        <v>4</v>
      </c>
      <c r="I11" s="28">
        <v>1.5837143451697024</v>
      </c>
      <c r="J11" s="28">
        <f t="shared" si="0"/>
        <v>1.266971476135762</v>
      </c>
      <c r="K11" s="6">
        <v>7.4771345368011035</v>
      </c>
      <c r="L11" s="28">
        <f>(3*12+9)/3.5</f>
        <v>12.857142857142858</v>
      </c>
      <c r="M11" s="28">
        <v>10</v>
      </c>
      <c r="N11" s="28"/>
      <c r="O11" s="28"/>
      <c r="Q11" s="69">
        <f t="shared" si="1"/>
        <v>2514</v>
      </c>
      <c r="R11" s="28">
        <f t="shared" si="2"/>
        <v>410.03999999999996</v>
      </c>
      <c r="S11" s="28">
        <f t="shared" si="3"/>
        <v>455.6</v>
      </c>
      <c r="T11" s="28">
        <f t="shared" si="4"/>
        <v>59.4</v>
      </c>
      <c r="U11" s="28">
        <f t="shared" si="5"/>
        <v>17.600000000000001</v>
      </c>
      <c r="V11" s="28">
        <f t="shared" si="6"/>
        <v>4.7511430355091075</v>
      </c>
      <c r="W11" s="28">
        <f t="shared" si="7"/>
        <v>22.431403610403311</v>
      </c>
      <c r="X11" s="28">
        <f t="shared" si="8"/>
        <v>29</v>
      </c>
      <c r="Y11" s="28">
        <f t="shared" si="9"/>
        <v>38.571428571428569</v>
      </c>
      <c r="Z11" s="28"/>
      <c r="AC11" s="14">
        <f t="shared" si="10"/>
        <v>2658.5714285714284</v>
      </c>
      <c r="AD11" s="14">
        <f t="shared" si="11"/>
        <v>581.79397521734097</v>
      </c>
      <c r="AE11" s="29">
        <f t="shared" si="12"/>
        <v>627.35397521734103</v>
      </c>
      <c r="AF11" s="29"/>
      <c r="AG11" s="29">
        <f t="shared" si="13"/>
        <v>690.0893727390752</v>
      </c>
      <c r="AH11" s="29">
        <f t="shared" si="14"/>
        <v>2070.2681182172255</v>
      </c>
      <c r="AI11" s="14"/>
      <c r="AJ11" s="29"/>
      <c r="AK11" s="30"/>
      <c r="AL11" s="30"/>
      <c r="AM11" s="30"/>
      <c r="AN11" s="16"/>
      <c r="AO11" s="16"/>
      <c r="AP11" s="14"/>
      <c r="AQ11" s="33"/>
      <c r="AR11" s="31"/>
      <c r="AS11" s="34"/>
      <c r="AV11" s="14"/>
      <c r="AW11" s="14"/>
    </row>
    <row r="12" spans="1:50" x14ac:dyDescent="0.2">
      <c r="A12" s="27">
        <v>1932</v>
      </c>
      <c r="B12" s="28">
        <f>(20*12+11*12+6)/100</f>
        <v>3.78</v>
      </c>
      <c r="C12" s="28">
        <v>6</v>
      </c>
      <c r="D12" s="28">
        <f>(12*10)/200</f>
        <v>0.6</v>
      </c>
      <c r="E12" s="28">
        <f>(11*12+11)/180</f>
        <v>0.7944444444444444</v>
      </c>
      <c r="F12" s="28">
        <v>9</v>
      </c>
      <c r="G12" s="28">
        <v>4</v>
      </c>
      <c r="I12" s="28">
        <v>1.5523399884256761</v>
      </c>
      <c r="J12" s="28">
        <f t="shared" si="0"/>
        <v>1.2418719907405409</v>
      </c>
      <c r="K12" s="6">
        <v>6.3643928337334952</v>
      </c>
      <c r="L12" s="28">
        <f>(3*12+9)/3.5</f>
        <v>12.857142857142858</v>
      </c>
      <c r="M12" s="28">
        <v>10</v>
      </c>
      <c r="N12" s="28"/>
      <c r="O12" s="28"/>
      <c r="Q12" s="69">
        <f t="shared" si="1"/>
        <v>2514</v>
      </c>
      <c r="R12" s="28">
        <f t="shared" si="2"/>
        <v>244.79999999999998</v>
      </c>
      <c r="S12" s="28">
        <f t="shared" si="3"/>
        <v>324.13333333333333</v>
      </c>
      <c r="T12" s="28">
        <f t="shared" si="4"/>
        <v>59.4</v>
      </c>
      <c r="U12" s="28">
        <f t="shared" si="5"/>
        <v>17.600000000000001</v>
      </c>
      <c r="V12" s="28">
        <f t="shared" si="6"/>
        <v>4.6570199652770281</v>
      </c>
      <c r="W12" s="28">
        <f t="shared" si="7"/>
        <v>19.093178501200484</v>
      </c>
      <c r="X12" s="28">
        <f t="shared" si="8"/>
        <v>29</v>
      </c>
      <c r="Y12" s="28">
        <f t="shared" si="9"/>
        <v>38.571428571428569</v>
      </c>
      <c r="Z12" s="28"/>
      <c r="AC12" s="14">
        <f t="shared" si="10"/>
        <v>2658.5714285714284</v>
      </c>
      <c r="AD12" s="14">
        <f t="shared" si="11"/>
        <v>413.12162703790608</v>
      </c>
      <c r="AE12" s="29">
        <f t="shared" si="12"/>
        <v>492.45496037123939</v>
      </c>
      <c r="AF12" s="29"/>
      <c r="AG12" s="29">
        <f t="shared" si="13"/>
        <v>541.70045640836338</v>
      </c>
      <c r="AH12" s="29">
        <f t="shared" si="14"/>
        <v>1625.1013692250901</v>
      </c>
      <c r="AI12" s="14"/>
      <c r="AJ12" s="29"/>
      <c r="AK12" s="30"/>
      <c r="AL12" s="30"/>
      <c r="AM12" s="30"/>
      <c r="AN12" s="16"/>
      <c r="AO12" s="16"/>
      <c r="AP12" s="14"/>
      <c r="AQ12" s="33"/>
      <c r="AR12" s="31"/>
      <c r="AS12" s="34"/>
      <c r="AV12" s="14"/>
      <c r="AW12" s="14"/>
    </row>
    <row r="13" spans="1:50" x14ac:dyDescent="0.2">
      <c r="A13" s="27">
        <v>1933</v>
      </c>
      <c r="B13" s="28">
        <f>(20*12+11*12+6)/100</f>
        <v>3.78</v>
      </c>
      <c r="C13" s="28">
        <v>6</v>
      </c>
      <c r="D13" s="28">
        <f>10*12/200</f>
        <v>0.6</v>
      </c>
      <c r="E13" s="28">
        <f>(11*12+11)/180</f>
        <v>0.7944444444444444</v>
      </c>
      <c r="F13" s="28">
        <v>9</v>
      </c>
      <c r="G13" s="28">
        <v>4</v>
      </c>
      <c r="I13" s="28">
        <v>1.3459450068180592</v>
      </c>
      <c r="J13" s="28">
        <f t="shared" si="0"/>
        <v>1.0767560054544474</v>
      </c>
      <c r="K13" s="6">
        <v>7.0734352633586397</v>
      </c>
      <c r="L13" s="28">
        <f>(3*12+9)/3.5</f>
        <v>12.857142857142858</v>
      </c>
      <c r="M13" s="28">
        <v>10</v>
      </c>
      <c r="N13" s="28"/>
      <c r="O13" s="28"/>
      <c r="Q13" s="69">
        <f t="shared" si="1"/>
        <v>2514</v>
      </c>
      <c r="R13" s="28">
        <f t="shared" si="2"/>
        <v>244.79999999999998</v>
      </c>
      <c r="S13" s="28">
        <f t="shared" si="3"/>
        <v>324.13333333333333</v>
      </c>
      <c r="T13" s="28">
        <f t="shared" si="4"/>
        <v>59.4</v>
      </c>
      <c r="U13" s="28">
        <f t="shared" si="5"/>
        <v>17.600000000000001</v>
      </c>
      <c r="V13" s="28">
        <f t="shared" si="6"/>
        <v>4.0378350204541773</v>
      </c>
      <c r="W13" s="28">
        <f t="shared" si="7"/>
        <v>21.220305790075919</v>
      </c>
      <c r="X13" s="28">
        <f t="shared" si="8"/>
        <v>29</v>
      </c>
      <c r="Y13" s="28">
        <f t="shared" si="9"/>
        <v>38.571428571428569</v>
      </c>
      <c r="Z13" s="28"/>
      <c r="AC13" s="14">
        <f t="shared" si="10"/>
        <v>2658.5714285714284</v>
      </c>
      <c r="AD13" s="14">
        <f t="shared" si="11"/>
        <v>414.62956938195867</v>
      </c>
      <c r="AE13" s="29">
        <f t="shared" si="12"/>
        <v>493.96290271529199</v>
      </c>
      <c r="AF13" s="29"/>
      <c r="AG13" s="29">
        <f t="shared" si="13"/>
        <v>543.3591929868212</v>
      </c>
      <c r="AH13" s="29">
        <f t="shared" si="14"/>
        <v>1630.0775789604636</v>
      </c>
      <c r="AI13" s="14"/>
      <c r="AJ13" s="29"/>
      <c r="AK13" s="30"/>
      <c r="AL13" s="30"/>
      <c r="AM13" s="30"/>
      <c r="AN13" s="16"/>
      <c r="AO13" s="16"/>
      <c r="AP13" s="14"/>
      <c r="AQ13" s="33"/>
      <c r="AR13" s="31"/>
      <c r="AS13" s="34"/>
      <c r="AV13" s="14"/>
      <c r="AW13" s="14"/>
    </row>
    <row r="14" spans="1:50" x14ac:dyDescent="0.2">
      <c r="A14" s="27">
        <v>1934</v>
      </c>
      <c r="B14" s="28">
        <f>(20*12+9*12)/100</f>
        <v>3.48</v>
      </c>
      <c r="C14" s="28">
        <v>6</v>
      </c>
      <c r="D14" s="28">
        <f>(12*12+9)/200</f>
        <v>0.76500000000000001</v>
      </c>
      <c r="E14" s="28">
        <f>(13*12+9)/180</f>
        <v>0.91666666666666663</v>
      </c>
      <c r="F14" s="28">
        <v>9</v>
      </c>
      <c r="G14" s="28">
        <v>4</v>
      </c>
      <c r="I14" s="28">
        <v>1.0620258580300095</v>
      </c>
      <c r="J14" s="28">
        <f t="shared" si="0"/>
        <v>0.84962068642400768</v>
      </c>
      <c r="K14" s="6">
        <v>7.0529291135530929</v>
      </c>
      <c r="L14" s="28">
        <f>(3*12+9)/3.5</f>
        <v>12.857142857142858</v>
      </c>
      <c r="M14" s="28">
        <v>8</v>
      </c>
      <c r="N14" s="28"/>
      <c r="O14" s="28"/>
      <c r="Q14" s="69">
        <f t="shared" si="1"/>
        <v>2514</v>
      </c>
      <c r="R14" s="28">
        <f t="shared" si="2"/>
        <v>312.12</v>
      </c>
      <c r="S14" s="28">
        <f t="shared" si="3"/>
        <v>374</v>
      </c>
      <c r="T14" s="28">
        <f t="shared" si="4"/>
        <v>59.4</v>
      </c>
      <c r="U14" s="28">
        <f t="shared" si="5"/>
        <v>17.600000000000001</v>
      </c>
      <c r="V14" s="28">
        <f t="shared" si="6"/>
        <v>3.1860775740900285</v>
      </c>
      <c r="W14" s="28">
        <f t="shared" si="7"/>
        <v>21.158787340659281</v>
      </c>
      <c r="X14" s="28">
        <f t="shared" si="8"/>
        <v>23.2</v>
      </c>
      <c r="Y14" s="28">
        <f t="shared" si="9"/>
        <v>38.571428571428569</v>
      </c>
      <c r="Z14" s="28"/>
      <c r="AC14" s="14">
        <f t="shared" si="10"/>
        <v>2652.7714285714283</v>
      </c>
      <c r="AD14" s="14">
        <f t="shared" si="11"/>
        <v>475.23629348617783</v>
      </c>
      <c r="AE14" s="29">
        <f t="shared" si="12"/>
        <v>537.11629348617782</v>
      </c>
      <c r="AF14" s="29"/>
      <c r="AG14" s="29">
        <f t="shared" si="13"/>
        <v>590.82792283479569</v>
      </c>
      <c r="AH14" s="29">
        <f t="shared" si="14"/>
        <v>1772.4837685043872</v>
      </c>
      <c r="AI14" s="14"/>
      <c r="AJ14" s="29"/>
      <c r="AK14" s="30"/>
      <c r="AL14" s="30"/>
      <c r="AM14" s="30"/>
      <c r="AN14" s="16"/>
      <c r="AO14" s="16"/>
      <c r="AP14" s="14"/>
      <c r="AQ14" s="33"/>
      <c r="AR14" s="31"/>
      <c r="AS14" s="34"/>
      <c r="AV14" s="14"/>
      <c r="AW14" s="14"/>
    </row>
    <row r="15" spans="1:50" x14ac:dyDescent="0.2">
      <c r="A15" s="27">
        <v>1935</v>
      </c>
      <c r="B15" s="28">
        <f>(20*12+13*12)/100</f>
        <v>3.96</v>
      </c>
      <c r="C15" s="28">
        <v>6</v>
      </c>
      <c r="D15" s="28">
        <f>(8*12+6)/200</f>
        <v>0.51</v>
      </c>
      <c r="E15" s="28">
        <f>(9*12)/180</f>
        <v>0.6</v>
      </c>
      <c r="F15" s="28">
        <v>8</v>
      </c>
      <c r="G15" s="28">
        <v>4</v>
      </c>
      <c r="I15" s="28">
        <v>1.6819555635218859</v>
      </c>
      <c r="J15" s="28">
        <f t="shared" si="0"/>
        <v>1.3455644508175089</v>
      </c>
      <c r="K15" s="6">
        <v>7.3366521473439716</v>
      </c>
      <c r="L15" s="28">
        <f>(3*12+2)/3.5</f>
        <v>10.857142857142858</v>
      </c>
      <c r="M15" s="28">
        <v>5</v>
      </c>
      <c r="N15" s="28"/>
      <c r="O15" s="28"/>
      <c r="Q15" s="69">
        <f t="shared" si="1"/>
        <v>2514</v>
      </c>
      <c r="R15" s="28">
        <f t="shared" si="2"/>
        <v>208.08</v>
      </c>
      <c r="S15" s="28">
        <f t="shared" si="3"/>
        <v>244.79999999999998</v>
      </c>
      <c r="T15" s="28">
        <f t="shared" si="4"/>
        <v>52.8</v>
      </c>
      <c r="U15" s="28">
        <f t="shared" si="5"/>
        <v>17.600000000000001</v>
      </c>
      <c r="V15" s="28">
        <f t="shared" si="6"/>
        <v>5.0458666905656582</v>
      </c>
      <c r="W15" s="28">
        <f t="shared" si="7"/>
        <v>22.009956442031914</v>
      </c>
      <c r="X15" s="28">
        <f t="shared" si="8"/>
        <v>14.5</v>
      </c>
      <c r="Y15" s="28">
        <f t="shared" si="9"/>
        <v>32.571428571428569</v>
      </c>
      <c r="Z15" s="28"/>
      <c r="AC15" s="14">
        <f t="shared" si="10"/>
        <v>2631.4714285714285</v>
      </c>
      <c r="AD15" s="14">
        <f t="shared" si="11"/>
        <v>352.60725170402617</v>
      </c>
      <c r="AE15" s="29">
        <f t="shared" si="12"/>
        <v>389.32725170402614</v>
      </c>
      <c r="AF15" s="29"/>
      <c r="AG15" s="29">
        <f t="shared" si="13"/>
        <v>428.25997687442879</v>
      </c>
      <c r="AH15" s="29">
        <f t="shared" si="14"/>
        <v>1284.7799306232864</v>
      </c>
      <c r="AI15" s="14"/>
      <c r="AJ15" s="29"/>
      <c r="AK15" s="30"/>
      <c r="AL15" s="30"/>
      <c r="AM15" s="30"/>
      <c r="AN15" s="16"/>
      <c r="AO15" s="16"/>
      <c r="AP15" s="14"/>
      <c r="AQ15" s="33"/>
      <c r="AR15" s="31"/>
      <c r="AS15" s="34"/>
      <c r="AU15" s="14"/>
      <c r="AV15" s="14"/>
      <c r="AW15" s="14"/>
      <c r="AX15" s="14"/>
    </row>
    <row r="16" spans="1:50" x14ac:dyDescent="0.2">
      <c r="A16" s="27">
        <v>1936</v>
      </c>
      <c r="B16" s="28">
        <f>(20*12+12*10)/100</f>
        <v>3.6</v>
      </c>
      <c r="C16" s="28">
        <v>4</v>
      </c>
      <c r="D16" s="28">
        <f>(14*12)/200</f>
        <v>0.84</v>
      </c>
      <c r="E16" s="28">
        <f>(14*12)/180</f>
        <v>0.93333333333333335</v>
      </c>
      <c r="F16" s="28">
        <v>9.5</v>
      </c>
      <c r="G16" s="28">
        <v>3.5</v>
      </c>
      <c r="I16" s="28">
        <v>1.7627519780708591</v>
      </c>
      <c r="J16" s="28">
        <f t="shared" si="0"/>
        <v>1.4102015824566874</v>
      </c>
      <c r="K16" s="6">
        <v>7.3276269061587591</v>
      </c>
      <c r="L16" s="28">
        <f>(3*12+1)/3.5</f>
        <v>10.571428571428571</v>
      </c>
      <c r="M16" s="28">
        <v>4.5</v>
      </c>
      <c r="N16" s="28"/>
      <c r="O16" s="28"/>
      <c r="Q16" s="69">
        <f t="shared" si="1"/>
        <v>1676</v>
      </c>
      <c r="R16" s="28">
        <f t="shared" si="2"/>
        <v>342.71999999999997</v>
      </c>
      <c r="S16" s="28">
        <f t="shared" si="3"/>
        <v>380.8</v>
      </c>
      <c r="T16" s="28">
        <f t="shared" si="4"/>
        <v>62.699999999999996</v>
      </c>
      <c r="U16" s="28">
        <f t="shared" si="5"/>
        <v>15.400000000000002</v>
      </c>
      <c r="V16" s="28">
        <f t="shared" si="6"/>
        <v>5.288255934212577</v>
      </c>
      <c r="W16" s="28">
        <f t="shared" si="7"/>
        <v>21.982880718476277</v>
      </c>
      <c r="X16" s="28">
        <f t="shared" si="8"/>
        <v>13.049999999999999</v>
      </c>
      <c r="Y16" s="28">
        <f t="shared" si="9"/>
        <v>31.714285714285715</v>
      </c>
      <c r="Z16" s="28"/>
      <c r="AC16" s="14">
        <f t="shared" si="10"/>
        <v>1798.8642857142859</v>
      </c>
      <c r="AD16" s="14">
        <f t="shared" si="11"/>
        <v>492.85542236697455</v>
      </c>
      <c r="AE16" s="29">
        <f t="shared" si="12"/>
        <v>530.93542236697454</v>
      </c>
      <c r="AF16" s="29"/>
      <c r="AG16" s="29">
        <f t="shared" si="13"/>
        <v>584.02896460367208</v>
      </c>
      <c r="AH16" s="29">
        <f t="shared" si="14"/>
        <v>1752.0868938110161</v>
      </c>
      <c r="AI16" s="14"/>
      <c r="AJ16" s="29"/>
      <c r="AK16" s="30"/>
      <c r="AL16" s="30"/>
      <c r="AM16" s="30"/>
      <c r="AN16" s="16"/>
      <c r="AO16" s="16"/>
      <c r="AP16" s="14"/>
      <c r="AQ16" s="33"/>
      <c r="AR16" s="31"/>
      <c r="AS16" s="34"/>
      <c r="AV16" s="14"/>
      <c r="AW16" s="14"/>
    </row>
    <row r="17" spans="1:50" x14ac:dyDescent="0.2">
      <c r="A17" s="27">
        <v>1937</v>
      </c>
      <c r="B17" s="28">
        <f>(20*12+11*12+6)/100</f>
        <v>3.78</v>
      </c>
      <c r="C17" s="28">
        <v>3.5</v>
      </c>
      <c r="D17" s="28">
        <f>(14*12)/200</f>
        <v>0.84</v>
      </c>
      <c r="E17" s="28">
        <f>(14*12)/180</f>
        <v>0.93333333333333335</v>
      </c>
      <c r="F17" s="28">
        <v>10</v>
      </c>
      <c r="G17" s="28">
        <v>3.5</v>
      </c>
      <c r="I17" s="28">
        <v>2.2439903789230575</v>
      </c>
      <c r="J17" s="28">
        <f t="shared" si="0"/>
        <v>1.795192303138446</v>
      </c>
      <c r="K17" s="6">
        <v>8.689531835438391</v>
      </c>
      <c r="L17" s="28">
        <f>(3*12+2)/3.5</f>
        <v>10.857142857142858</v>
      </c>
      <c r="M17" s="28">
        <v>4.5</v>
      </c>
      <c r="N17" s="28"/>
      <c r="O17" s="28"/>
      <c r="Q17" s="69">
        <f t="shared" si="1"/>
        <v>1466.5</v>
      </c>
      <c r="R17" s="28">
        <f t="shared" si="2"/>
        <v>342.71999999999997</v>
      </c>
      <c r="S17" s="28">
        <f t="shared" si="3"/>
        <v>380.8</v>
      </c>
      <c r="T17" s="28">
        <f t="shared" si="4"/>
        <v>66</v>
      </c>
      <c r="U17" s="28">
        <f t="shared" si="5"/>
        <v>15.400000000000002</v>
      </c>
      <c r="V17" s="28">
        <f t="shared" si="6"/>
        <v>6.7319711367691726</v>
      </c>
      <c r="W17" s="28">
        <f t="shared" si="7"/>
        <v>26.068595506315173</v>
      </c>
      <c r="X17" s="28">
        <f t="shared" si="8"/>
        <v>13.049999999999999</v>
      </c>
      <c r="Y17" s="28">
        <f t="shared" si="9"/>
        <v>32.571428571428569</v>
      </c>
      <c r="Z17" s="28"/>
      <c r="AC17" s="14">
        <f t="shared" si="10"/>
        <v>1593.5214285714287</v>
      </c>
      <c r="AD17" s="14">
        <f t="shared" si="11"/>
        <v>502.54199521451284</v>
      </c>
      <c r="AE17" s="29">
        <f t="shared" si="12"/>
        <v>540.62199521451294</v>
      </c>
      <c r="AF17" s="29"/>
      <c r="AG17" s="29">
        <f t="shared" si="13"/>
        <v>594.6841947359643</v>
      </c>
      <c r="AH17" s="29">
        <f t="shared" si="14"/>
        <v>1784.0525842078928</v>
      </c>
      <c r="AI17" s="14"/>
      <c r="AJ17" s="29"/>
      <c r="AK17" s="30"/>
      <c r="AL17" s="30"/>
      <c r="AM17" s="30"/>
      <c r="AN17" s="16"/>
      <c r="AO17" s="16"/>
      <c r="AP17" s="14"/>
      <c r="AQ17" s="33"/>
      <c r="AR17" s="31"/>
      <c r="AS17" s="34"/>
      <c r="AV17" s="14"/>
      <c r="AW17" s="14"/>
    </row>
    <row r="18" spans="1:50" x14ac:dyDescent="0.2">
      <c r="A18" s="27">
        <v>1938</v>
      </c>
      <c r="B18" s="28">
        <f>(20*12+9*12)/100</f>
        <v>3.48</v>
      </c>
      <c r="C18" s="28">
        <v>3.5</v>
      </c>
      <c r="D18" s="28">
        <f>14*12/200</f>
        <v>0.84</v>
      </c>
      <c r="E18" s="28">
        <f t="shared" ref="E18" si="15">(14*12)/180</f>
        <v>0.93333333333333335</v>
      </c>
      <c r="F18" s="28">
        <v>10</v>
      </c>
      <c r="G18" s="28">
        <v>3.5</v>
      </c>
      <c r="I18" s="28">
        <v>1.5404686222923538</v>
      </c>
      <c r="J18" s="28">
        <f t="shared" si="0"/>
        <v>1.2323748978338831</v>
      </c>
      <c r="K18" s="6">
        <v>7.7487093349928156</v>
      </c>
      <c r="L18" s="28">
        <f>(3*12+2)/3.5</f>
        <v>10.857142857142858</v>
      </c>
      <c r="M18" s="28">
        <v>4</v>
      </c>
      <c r="N18" s="28"/>
      <c r="O18" s="28"/>
      <c r="Q18" s="69">
        <f t="shared" si="1"/>
        <v>1466.5</v>
      </c>
      <c r="R18" s="28">
        <f t="shared" si="2"/>
        <v>342.71999999999997</v>
      </c>
      <c r="S18" s="28">
        <f t="shared" si="3"/>
        <v>380.8</v>
      </c>
      <c r="T18" s="28">
        <f t="shared" si="4"/>
        <v>66</v>
      </c>
      <c r="U18" s="28">
        <f t="shared" si="5"/>
        <v>15.400000000000002</v>
      </c>
      <c r="V18" s="28">
        <f t="shared" si="6"/>
        <v>4.6214058668770619</v>
      </c>
      <c r="W18" s="28">
        <f t="shared" si="7"/>
        <v>23.246128004978445</v>
      </c>
      <c r="X18" s="28">
        <f t="shared" si="8"/>
        <v>11.6</v>
      </c>
      <c r="Y18" s="28">
        <f t="shared" si="9"/>
        <v>32.571428571428569</v>
      </c>
      <c r="Z18" s="28"/>
      <c r="AC18" s="14">
        <f t="shared" si="10"/>
        <v>1592.0714285714287</v>
      </c>
      <c r="AD18" s="14">
        <f t="shared" si="11"/>
        <v>496.15896244328405</v>
      </c>
      <c r="AE18" s="29">
        <f t="shared" si="12"/>
        <v>534.23896244328409</v>
      </c>
      <c r="AF18" s="29"/>
      <c r="AG18" s="29">
        <f t="shared" si="13"/>
        <v>587.66285868761258</v>
      </c>
      <c r="AH18" s="29">
        <f t="shared" si="14"/>
        <v>1762.9885760628376</v>
      </c>
      <c r="AI18" s="14"/>
      <c r="AJ18" s="29"/>
      <c r="AK18" s="30"/>
      <c r="AL18" s="30"/>
      <c r="AM18" s="30"/>
      <c r="AN18" s="16"/>
      <c r="AO18" s="16"/>
      <c r="AP18" s="14"/>
      <c r="AQ18" s="33"/>
      <c r="AR18" s="31"/>
      <c r="AS18" s="34"/>
      <c r="AV18" s="14"/>
      <c r="AW18" s="14"/>
    </row>
    <row r="19" spans="1:50" x14ac:dyDescent="0.2">
      <c r="A19" s="27">
        <v>1939</v>
      </c>
      <c r="B19" s="28">
        <f>(20*12+8*12+6)/100</f>
        <v>3.42</v>
      </c>
      <c r="C19" s="28">
        <v>3</v>
      </c>
      <c r="D19" s="28">
        <f>13*12/200</f>
        <v>0.78</v>
      </c>
      <c r="E19" s="28">
        <f>(14*12)/180</f>
        <v>0.93333333333333335</v>
      </c>
      <c r="F19" s="28">
        <v>8</v>
      </c>
      <c r="G19" s="28">
        <v>3.5</v>
      </c>
      <c r="I19" s="28">
        <v>1.2000252470316122</v>
      </c>
      <c r="J19" s="28">
        <f t="shared" si="0"/>
        <v>0.96002019762528978</v>
      </c>
      <c r="K19" s="6">
        <f>1.2*5.95</f>
        <v>7.14</v>
      </c>
      <c r="L19" s="28">
        <f>(3*12+2)/3.5</f>
        <v>10.857142857142858</v>
      </c>
      <c r="M19" s="28">
        <v>4</v>
      </c>
      <c r="N19" s="28"/>
      <c r="O19" s="28"/>
      <c r="Q19" s="69">
        <f t="shared" si="1"/>
        <v>1257</v>
      </c>
      <c r="R19" s="28">
        <f t="shared" si="2"/>
        <v>318.24</v>
      </c>
      <c r="S19" s="28">
        <f t="shared" si="3"/>
        <v>380.8</v>
      </c>
      <c r="T19" s="28">
        <f t="shared" si="4"/>
        <v>52.8</v>
      </c>
      <c r="U19" s="28">
        <f t="shared" si="5"/>
        <v>15.400000000000002</v>
      </c>
      <c r="V19" s="28">
        <f t="shared" si="6"/>
        <v>3.6000757410948365</v>
      </c>
      <c r="W19" s="28">
        <f t="shared" si="7"/>
        <v>21.419999999999998</v>
      </c>
      <c r="X19" s="28">
        <f t="shared" si="8"/>
        <v>11.6</v>
      </c>
      <c r="Y19" s="28">
        <f t="shared" si="9"/>
        <v>32.571428571428569</v>
      </c>
      <c r="Z19" s="28"/>
      <c r="AC19" s="14">
        <f t="shared" si="10"/>
        <v>1369.3714285714286</v>
      </c>
      <c r="AD19" s="14">
        <f t="shared" si="11"/>
        <v>455.63150431252342</v>
      </c>
      <c r="AE19" s="29">
        <f t="shared" si="12"/>
        <v>518.19150431252342</v>
      </c>
      <c r="AF19" s="29"/>
      <c r="AG19" s="29">
        <f t="shared" si="13"/>
        <v>570.01065474377583</v>
      </c>
      <c r="AH19" s="29">
        <f t="shared" si="14"/>
        <v>1710.0319642313275</v>
      </c>
      <c r="AI19" s="14"/>
      <c r="AJ19" s="29"/>
      <c r="AK19" s="30"/>
      <c r="AL19" s="30"/>
      <c r="AM19" s="30"/>
      <c r="AN19" s="16"/>
      <c r="AO19" s="16"/>
      <c r="AP19" s="14"/>
      <c r="AQ19" s="33"/>
      <c r="AR19" s="31"/>
      <c r="AS19" s="34"/>
      <c r="AV19" s="14"/>
      <c r="AW19" s="14"/>
    </row>
    <row r="20" spans="1:50" x14ac:dyDescent="0.2">
      <c r="A20" s="27">
        <v>1940</v>
      </c>
      <c r="B20" s="28">
        <f>(20*12+12*12+6)/100</f>
        <v>3.9</v>
      </c>
      <c r="C20" s="28">
        <v>4</v>
      </c>
      <c r="D20" s="28">
        <f>13*12/200</f>
        <v>0.78</v>
      </c>
      <c r="E20" s="28">
        <f>(14*12+10)/180</f>
        <v>0.98888888888888893</v>
      </c>
      <c r="F20" s="28">
        <v>9</v>
      </c>
      <c r="G20" s="28">
        <v>4</v>
      </c>
      <c r="I20" s="28">
        <v>1.7100880960211913</v>
      </c>
      <c r="J20" s="28">
        <f t="shared" si="0"/>
        <v>1.3680704768169532</v>
      </c>
      <c r="K20" s="6">
        <f>1.2*8.1</f>
        <v>9.7199999999999989</v>
      </c>
      <c r="L20" s="28">
        <f>(3*12+6)/3.5</f>
        <v>12</v>
      </c>
      <c r="M20" s="28">
        <v>4</v>
      </c>
      <c r="N20" s="28"/>
      <c r="O20" s="28"/>
      <c r="Q20" s="69">
        <f t="shared" si="1"/>
        <v>1676</v>
      </c>
      <c r="R20" s="28">
        <f t="shared" si="2"/>
        <v>318.24</v>
      </c>
      <c r="S20" s="28">
        <f t="shared" si="3"/>
        <v>403.4666666666667</v>
      </c>
      <c r="T20" s="28">
        <f t="shared" si="4"/>
        <v>59.4</v>
      </c>
      <c r="U20" s="28">
        <f t="shared" si="5"/>
        <v>17.600000000000001</v>
      </c>
      <c r="V20" s="28">
        <f t="shared" si="6"/>
        <v>5.1302642880635734</v>
      </c>
      <c r="W20" s="28">
        <f t="shared" si="7"/>
        <v>29.159999999999997</v>
      </c>
      <c r="X20" s="28">
        <f t="shared" si="8"/>
        <v>11.6</v>
      </c>
      <c r="Y20" s="28">
        <f t="shared" si="9"/>
        <v>36</v>
      </c>
      <c r="Z20" s="28"/>
      <c r="AC20" s="14">
        <f t="shared" si="10"/>
        <v>1800.6</v>
      </c>
      <c r="AD20" s="14">
        <f t="shared" si="11"/>
        <v>477.13026428806359</v>
      </c>
      <c r="AE20" s="29">
        <f t="shared" si="12"/>
        <v>562.35693095473027</v>
      </c>
      <c r="AF20" s="29"/>
      <c r="AG20" s="29">
        <f t="shared" si="13"/>
        <v>618.59262405020331</v>
      </c>
      <c r="AH20" s="29">
        <f t="shared" si="14"/>
        <v>1855.7778721506099</v>
      </c>
      <c r="AI20" s="14"/>
      <c r="AJ20" s="29"/>
      <c r="AK20" s="30"/>
      <c r="AL20" s="30"/>
      <c r="AM20" s="30"/>
      <c r="AN20" s="16"/>
      <c r="AO20" s="16"/>
      <c r="AP20" s="14"/>
      <c r="AQ20" s="33"/>
      <c r="AR20" s="31"/>
      <c r="AS20" s="34"/>
      <c r="AT20" s="14"/>
      <c r="AU20" s="14"/>
      <c r="AV20" s="14"/>
      <c r="AW20" s="14"/>
      <c r="AX20" s="14"/>
    </row>
    <row r="21" spans="1:50" x14ac:dyDescent="0.2">
      <c r="A21" s="27">
        <v>1941</v>
      </c>
      <c r="B21" s="28">
        <f>(3*12+10)/10</f>
        <v>4.5999999999999996</v>
      </c>
      <c r="C21" s="28">
        <v>4.5</v>
      </c>
      <c r="D21" s="28">
        <f>(12+5)/14</f>
        <v>1.2142857142857142</v>
      </c>
      <c r="E21" s="28">
        <f>(12+5)/14</f>
        <v>1.2142857142857142</v>
      </c>
      <c r="F21" s="28">
        <v>9.5</v>
      </c>
      <c r="G21" s="28">
        <v>4</v>
      </c>
      <c r="I21" s="28">
        <v>1.6263920149809366</v>
      </c>
      <c r="J21" s="28">
        <f t="shared" si="0"/>
        <v>1.3011136119847493</v>
      </c>
      <c r="K21" s="6">
        <f>1.2*9.14</f>
        <v>10.968</v>
      </c>
      <c r="L21" s="28">
        <f>((10*12+4.5)/4)/3.5</f>
        <v>8.8928571428571423</v>
      </c>
      <c r="M21" s="28">
        <v>4</v>
      </c>
      <c r="N21" s="28"/>
      <c r="O21" s="28"/>
      <c r="Q21" s="69">
        <f t="shared" si="1"/>
        <v>1885.5</v>
      </c>
      <c r="R21" s="28">
        <f t="shared" si="2"/>
        <v>495.42857142857139</v>
      </c>
      <c r="S21" s="28">
        <f t="shared" si="3"/>
        <v>495.42857142857139</v>
      </c>
      <c r="T21" s="28">
        <f t="shared" si="4"/>
        <v>62.699999999999996</v>
      </c>
      <c r="U21" s="28">
        <f t="shared" si="5"/>
        <v>17.600000000000001</v>
      </c>
      <c r="V21" s="28">
        <f t="shared" si="6"/>
        <v>4.8791760449428097</v>
      </c>
      <c r="W21" s="28">
        <f t="shared" si="7"/>
        <v>32.903999999999996</v>
      </c>
      <c r="X21" s="28">
        <f t="shared" si="8"/>
        <v>11.6</v>
      </c>
      <c r="Y21" s="28">
        <f t="shared" si="9"/>
        <v>26.678571428571427</v>
      </c>
      <c r="Z21" s="28"/>
      <c r="AC21" s="14">
        <f t="shared" si="10"/>
        <v>2004.0785714285712</v>
      </c>
      <c r="AD21" s="14">
        <f t="shared" si="11"/>
        <v>651.79031890208569</v>
      </c>
      <c r="AE21" s="29">
        <f t="shared" si="12"/>
        <v>651.79031890208569</v>
      </c>
      <c r="AF21" s="29"/>
      <c r="AG21" s="29">
        <f t="shared" si="13"/>
        <v>716.96935079229434</v>
      </c>
      <c r="AH21" s="29">
        <f t="shared" si="14"/>
        <v>2150.908052376883</v>
      </c>
      <c r="AI21" s="14"/>
      <c r="AJ21" s="29"/>
      <c r="AK21" s="30"/>
      <c r="AL21" s="30"/>
      <c r="AM21" s="30"/>
      <c r="AN21" s="16"/>
      <c r="AO21" s="16"/>
      <c r="AP21" s="15"/>
      <c r="AQ21" s="33"/>
      <c r="AR21" s="31"/>
      <c r="AS21" s="34"/>
      <c r="AV21" s="14"/>
      <c r="AW21" s="14"/>
    </row>
    <row r="22" spans="1:50" x14ac:dyDescent="0.2">
      <c r="A22" s="27">
        <v>1942</v>
      </c>
      <c r="D22" s="28"/>
      <c r="E22" s="28"/>
      <c r="I22" s="25">
        <v>2.3543924624451971</v>
      </c>
      <c r="J22" s="28">
        <f t="shared" si="0"/>
        <v>1.8835139699561578</v>
      </c>
      <c r="K22" s="6">
        <f>1.2*8.83</f>
        <v>10.596</v>
      </c>
      <c r="M22" s="28"/>
      <c r="N22" s="28"/>
      <c r="O22" s="28"/>
      <c r="R22" s="28"/>
      <c r="S22" s="28"/>
      <c r="T22" s="28"/>
      <c r="U22" s="28"/>
      <c r="V22" s="28">
        <f t="shared" si="6"/>
        <v>7.0631773873355908</v>
      </c>
      <c r="W22" s="28">
        <f t="shared" si="7"/>
        <v>31.788</v>
      </c>
      <c r="X22" s="28"/>
      <c r="Y22" s="28"/>
      <c r="Z22" s="28"/>
      <c r="AC22" s="14"/>
      <c r="AD22" s="14"/>
      <c r="AE22" s="29"/>
      <c r="AF22" s="29"/>
      <c r="AG22" s="29"/>
      <c r="AH22" s="51">
        <f>AH21+(AH23-AH21)/2</f>
        <v>2175.2344451590011</v>
      </c>
      <c r="AI22" s="14"/>
      <c r="AJ22" s="15"/>
      <c r="AK22" s="30"/>
      <c r="AL22" s="30"/>
      <c r="AM22" s="30"/>
      <c r="AN22" s="16"/>
      <c r="AO22" s="16"/>
      <c r="AP22" s="15"/>
      <c r="AQ22" s="31"/>
      <c r="AR22" s="31"/>
      <c r="AS22" s="34"/>
      <c r="AV22" s="14"/>
      <c r="AW22" s="14"/>
    </row>
    <row r="23" spans="1:50" x14ac:dyDescent="0.2">
      <c r="A23" s="27">
        <v>1943</v>
      </c>
      <c r="B23" s="28">
        <f>(4*12)/10</f>
        <v>4.8</v>
      </c>
      <c r="C23" s="28">
        <v>6.5</v>
      </c>
      <c r="D23" s="28">
        <f t="shared" ref="D23:E24" si="16">(12+5)/14</f>
        <v>1.2142857142857142</v>
      </c>
      <c r="E23" s="28">
        <f t="shared" si="16"/>
        <v>1.2142857142857142</v>
      </c>
      <c r="F23" s="28">
        <v>11</v>
      </c>
      <c r="G23" s="28">
        <f>(3*12+5.5)/10</f>
        <v>4.1500000000000004</v>
      </c>
      <c r="I23" s="28">
        <v>1.9475767040091791</v>
      </c>
      <c r="J23" s="28">
        <f t="shared" si="0"/>
        <v>1.5580613632073435</v>
      </c>
      <c r="K23" s="6">
        <f>1.2*7.83</f>
        <v>9.395999999999999</v>
      </c>
      <c r="L23" s="28">
        <f t="shared" ref="L23:L28" si="17">((12*12+4)/4)/3.5</f>
        <v>10.571428571428571</v>
      </c>
      <c r="M23" s="28">
        <f>((12+0.5)/2.5)</f>
        <v>5</v>
      </c>
      <c r="N23" s="28"/>
      <c r="O23" s="28"/>
      <c r="Q23" s="69">
        <f t="shared" ref="Q23:Q28" si="18">C23*419</f>
        <v>2723.5</v>
      </c>
      <c r="R23" s="28">
        <f t="shared" ref="R23:S28" si="19">D23*408</f>
        <v>495.42857142857139</v>
      </c>
      <c r="S23" s="28">
        <f t="shared" si="19"/>
        <v>495.42857142857139</v>
      </c>
      <c r="T23" s="28">
        <f t="shared" ref="T23:T28" si="20">F23*6.6</f>
        <v>72.599999999999994</v>
      </c>
      <c r="U23" s="28">
        <f t="shared" ref="U23:U28" si="21">G23*4.4</f>
        <v>18.260000000000002</v>
      </c>
      <c r="V23" s="28">
        <f t="shared" si="6"/>
        <v>5.842730112027537</v>
      </c>
      <c r="W23" s="28">
        <f t="shared" si="7"/>
        <v>28.187999999999995</v>
      </c>
      <c r="X23" s="28">
        <f t="shared" ref="X23:X28" si="22">M23*2.9</f>
        <v>14.5</v>
      </c>
      <c r="Y23" s="28">
        <f t="shared" ref="Y23:Y28" si="23">L23*3</f>
        <v>31.714285714285715</v>
      </c>
      <c r="Z23" s="28"/>
      <c r="AC23" s="14">
        <f t="shared" ref="AC23:AC35" si="24">Q23+T23+U23+X23+Y23</f>
        <v>2860.5742857142859</v>
      </c>
      <c r="AD23" s="14">
        <f t="shared" ref="AD23:AD34" si="25">R23+T23+U23+X23+Y23+V23+W23</f>
        <v>666.53358725488454</v>
      </c>
      <c r="AE23" s="29">
        <f t="shared" si="12"/>
        <v>666.53358725488454</v>
      </c>
      <c r="AF23" s="29"/>
      <c r="AG23" s="29">
        <f t="shared" si="13"/>
        <v>733.18694598037303</v>
      </c>
      <c r="AH23" s="29">
        <f t="shared" si="14"/>
        <v>2199.5608379411192</v>
      </c>
      <c r="AI23" s="14"/>
      <c r="AJ23" s="29"/>
      <c r="AK23" s="30"/>
      <c r="AL23" s="30"/>
      <c r="AM23" s="30"/>
      <c r="AN23" s="16"/>
      <c r="AO23" s="16"/>
      <c r="AP23" s="15"/>
      <c r="AQ23" s="33"/>
      <c r="AR23" s="31"/>
      <c r="AS23" s="34"/>
      <c r="AV23" s="14"/>
      <c r="AW23" s="14"/>
    </row>
    <row r="24" spans="1:50" x14ac:dyDescent="0.2">
      <c r="A24" s="27">
        <v>1944</v>
      </c>
      <c r="B24" s="28">
        <f>(3*12+11)/10</f>
        <v>4.7</v>
      </c>
      <c r="C24" s="28">
        <v>6.5</v>
      </c>
      <c r="D24" s="28">
        <f t="shared" si="16"/>
        <v>1.2142857142857142</v>
      </c>
      <c r="E24" s="28">
        <f t="shared" si="16"/>
        <v>1.2142857142857142</v>
      </c>
      <c r="F24" s="28">
        <v>11</v>
      </c>
      <c r="G24" s="28">
        <v>4</v>
      </c>
      <c r="I24" s="28">
        <v>3.352832997470061</v>
      </c>
      <c r="J24" s="28">
        <f t="shared" si="0"/>
        <v>2.6822663979760488</v>
      </c>
      <c r="K24" s="6">
        <f>1.2*11.32</f>
        <v>13.584</v>
      </c>
      <c r="L24" s="28">
        <f t="shared" si="17"/>
        <v>10.571428571428571</v>
      </c>
      <c r="M24" s="28">
        <v>5.6</v>
      </c>
      <c r="N24" s="28"/>
      <c r="O24" s="28"/>
      <c r="Q24" s="69">
        <f t="shared" si="18"/>
        <v>2723.5</v>
      </c>
      <c r="R24" s="28">
        <f t="shared" si="19"/>
        <v>495.42857142857139</v>
      </c>
      <c r="S24" s="28">
        <f t="shared" si="19"/>
        <v>495.42857142857139</v>
      </c>
      <c r="T24" s="28">
        <f t="shared" si="20"/>
        <v>72.599999999999994</v>
      </c>
      <c r="U24" s="28">
        <f t="shared" si="21"/>
        <v>17.600000000000001</v>
      </c>
      <c r="V24" s="28">
        <f t="shared" si="6"/>
        <v>10.058498992410183</v>
      </c>
      <c r="W24" s="28">
        <f t="shared" si="7"/>
        <v>40.751999999999995</v>
      </c>
      <c r="X24" s="28">
        <f t="shared" si="22"/>
        <v>16.239999999999998</v>
      </c>
      <c r="Y24" s="28">
        <f t="shared" si="23"/>
        <v>31.714285714285715</v>
      </c>
      <c r="Z24" s="28"/>
      <c r="AC24" s="14">
        <f t="shared" si="24"/>
        <v>2861.6542857142854</v>
      </c>
      <c r="AD24" s="14">
        <f t="shared" si="25"/>
        <v>684.39335613526714</v>
      </c>
      <c r="AE24" s="29">
        <f t="shared" si="12"/>
        <v>684.39335613526714</v>
      </c>
      <c r="AF24" s="29"/>
      <c r="AG24" s="29">
        <f t="shared" si="13"/>
        <v>752.83269174879388</v>
      </c>
      <c r="AH24" s="29">
        <f t="shared" si="14"/>
        <v>2258.4980752463816</v>
      </c>
      <c r="AI24" s="14"/>
      <c r="AJ24" s="29"/>
      <c r="AK24" s="30"/>
      <c r="AL24" s="30"/>
      <c r="AM24" s="30"/>
      <c r="AN24" s="16"/>
      <c r="AO24" s="16"/>
      <c r="AP24" s="15"/>
      <c r="AQ24" s="33"/>
      <c r="AR24" s="31"/>
      <c r="AS24" s="34"/>
      <c r="AV24" s="14"/>
      <c r="AW24" s="14"/>
    </row>
    <row r="25" spans="1:50" x14ac:dyDescent="0.2">
      <c r="A25" s="27">
        <v>1945</v>
      </c>
      <c r="B25" s="28">
        <f>(3*12+11)/10</f>
        <v>4.7</v>
      </c>
      <c r="C25" s="28">
        <v>6.5</v>
      </c>
      <c r="D25" s="28">
        <f>(12+5)/14</f>
        <v>1.2142857142857142</v>
      </c>
      <c r="E25" s="28">
        <f>(12+5)/14</f>
        <v>1.2142857142857142</v>
      </c>
      <c r="F25" s="35">
        <v>11</v>
      </c>
      <c r="G25" s="28">
        <v>4</v>
      </c>
      <c r="I25" s="28">
        <v>2.8565794679727761</v>
      </c>
      <c r="J25" s="28">
        <f t="shared" si="0"/>
        <v>2.285263574378221</v>
      </c>
      <c r="K25" s="6">
        <f>1.2*12.75</f>
        <v>15.299999999999999</v>
      </c>
      <c r="L25" s="28">
        <f t="shared" si="17"/>
        <v>10.571428571428571</v>
      </c>
      <c r="M25" s="28">
        <f>((12+4)/2.5)</f>
        <v>6.4</v>
      </c>
      <c r="N25" s="28"/>
      <c r="O25" s="28"/>
      <c r="Q25" s="69">
        <f t="shared" si="18"/>
        <v>2723.5</v>
      </c>
      <c r="R25" s="28">
        <f t="shared" si="19"/>
        <v>495.42857142857139</v>
      </c>
      <c r="S25" s="28">
        <f t="shared" si="19"/>
        <v>495.42857142857139</v>
      </c>
      <c r="T25" s="28">
        <f t="shared" si="20"/>
        <v>72.599999999999994</v>
      </c>
      <c r="U25" s="28">
        <f t="shared" si="21"/>
        <v>17.600000000000001</v>
      </c>
      <c r="V25" s="28">
        <f t="shared" si="6"/>
        <v>8.5697384039183291</v>
      </c>
      <c r="W25" s="28">
        <f t="shared" si="7"/>
        <v>45.9</v>
      </c>
      <c r="X25" s="28">
        <f t="shared" si="22"/>
        <v>18.559999999999999</v>
      </c>
      <c r="Y25" s="28">
        <f t="shared" si="23"/>
        <v>31.714285714285715</v>
      </c>
      <c r="Z25" s="28"/>
      <c r="AC25" s="14">
        <f t="shared" si="24"/>
        <v>2863.9742857142855</v>
      </c>
      <c r="AD25" s="14">
        <f t="shared" si="25"/>
        <v>690.3725955467753</v>
      </c>
      <c r="AE25" s="29">
        <f t="shared" si="12"/>
        <v>690.3725955467753</v>
      </c>
      <c r="AF25" s="29"/>
      <c r="AG25" s="29">
        <f t="shared" si="13"/>
        <v>759.40985510145288</v>
      </c>
      <c r="AH25" s="29">
        <f t="shared" si="14"/>
        <v>2278.2295653043584</v>
      </c>
      <c r="AI25" s="14"/>
      <c r="AJ25" s="29"/>
      <c r="AK25" s="30"/>
      <c r="AL25" s="30"/>
      <c r="AM25" s="30"/>
      <c r="AN25" s="16"/>
      <c r="AO25" s="16"/>
      <c r="AP25" s="15"/>
      <c r="AQ25" s="33"/>
      <c r="AR25" s="31"/>
      <c r="AS25" s="34"/>
      <c r="AU25" s="14"/>
      <c r="AV25" s="14"/>
      <c r="AW25" s="14"/>
      <c r="AX25" s="14"/>
    </row>
    <row r="26" spans="1:50" x14ac:dyDescent="0.2">
      <c r="A26" s="27">
        <v>1946</v>
      </c>
      <c r="B26" s="28">
        <f>(3*12+11)/10</f>
        <v>4.7</v>
      </c>
      <c r="C26" s="28">
        <v>6.5</v>
      </c>
      <c r="D26" s="28">
        <f>(12+5)/14</f>
        <v>1.2142857142857142</v>
      </c>
      <c r="E26" s="28">
        <f>(12+5)/14</f>
        <v>1.2142857142857142</v>
      </c>
      <c r="F26" s="35">
        <v>11</v>
      </c>
      <c r="G26" s="28">
        <v>4</v>
      </c>
      <c r="I26" s="28">
        <v>3.092860130616883</v>
      </c>
      <c r="J26" s="28">
        <f t="shared" si="0"/>
        <v>2.4742881044935068</v>
      </c>
      <c r="K26" s="6">
        <f>1.2*14.87</f>
        <v>17.843999999999998</v>
      </c>
      <c r="L26" s="28">
        <f t="shared" si="17"/>
        <v>10.571428571428571</v>
      </c>
      <c r="M26" s="28">
        <f>((12+6)/2.5)</f>
        <v>7.2</v>
      </c>
      <c r="N26" s="28"/>
      <c r="O26" s="28"/>
      <c r="Q26" s="69">
        <f t="shared" si="18"/>
        <v>2723.5</v>
      </c>
      <c r="R26" s="28">
        <f t="shared" si="19"/>
        <v>495.42857142857139</v>
      </c>
      <c r="S26" s="28">
        <f t="shared" si="19"/>
        <v>495.42857142857139</v>
      </c>
      <c r="T26" s="28">
        <f t="shared" si="20"/>
        <v>72.599999999999994</v>
      </c>
      <c r="U26" s="28">
        <f t="shared" si="21"/>
        <v>17.600000000000001</v>
      </c>
      <c r="V26" s="28">
        <f t="shared" si="6"/>
        <v>9.2785803918506495</v>
      </c>
      <c r="W26" s="28">
        <f t="shared" si="7"/>
        <v>53.531999999999996</v>
      </c>
      <c r="X26" s="28">
        <f t="shared" si="22"/>
        <v>20.88</v>
      </c>
      <c r="Y26" s="28">
        <f t="shared" si="23"/>
        <v>31.714285714285715</v>
      </c>
      <c r="Z26" s="28"/>
      <c r="AC26" s="14">
        <f t="shared" si="24"/>
        <v>2866.2942857142857</v>
      </c>
      <c r="AD26" s="14">
        <f t="shared" si="25"/>
        <v>701.03343753470767</v>
      </c>
      <c r="AE26" s="29">
        <f t="shared" si="12"/>
        <v>701.03343753470767</v>
      </c>
      <c r="AF26" s="29"/>
      <c r="AG26" s="29">
        <f t="shared" si="13"/>
        <v>771.13678128817855</v>
      </c>
      <c r="AH26" s="29">
        <f t="shared" si="14"/>
        <v>2313.4103438645357</v>
      </c>
      <c r="AI26" s="14"/>
      <c r="AJ26" s="29"/>
      <c r="AK26" s="30"/>
      <c r="AL26" s="30"/>
      <c r="AM26" s="30"/>
      <c r="AN26" s="16"/>
      <c r="AO26" s="16"/>
      <c r="AP26" s="15"/>
      <c r="AQ26" s="33"/>
      <c r="AR26" s="31"/>
      <c r="AS26" s="34"/>
      <c r="AV26" s="14"/>
      <c r="AW26" s="14"/>
    </row>
    <row r="27" spans="1:50" x14ac:dyDescent="0.2">
      <c r="A27" s="27">
        <v>1947</v>
      </c>
      <c r="B27" s="28">
        <f>(4*12+1)/10</f>
        <v>4.9000000000000004</v>
      </c>
      <c r="C27" s="28">
        <v>5.5</v>
      </c>
      <c r="D27" s="28">
        <f>(12+6)/14</f>
        <v>1.2857142857142858</v>
      </c>
      <c r="E27" s="28">
        <f>(12+6)/14</f>
        <v>1.2857142857142858</v>
      </c>
      <c r="F27" s="28">
        <v>13</v>
      </c>
      <c r="G27" s="28">
        <v>4</v>
      </c>
      <c r="I27" s="28">
        <v>4.4435072938384925</v>
      </c>
      <c r="J27" s="28">
        <f t="shared" si="0"/>
        <v>3.5548058350707943</v>
      </c>
      <c r="K27" s="6">
        <f>1.2*21.21</f>
        <v>25.452000000000002</v>
      </c>
      <c r="L27" s="28">
        <f t="shared" si="17"/>
        <v>10.571428571428571</v>
      </c>
      <c r="M27" s="28">
        <f>((12+6)/2.5)</f>
        <v>7.2</v>
      </c>
      <c r="N27" s="28"/>
      <c r="O27" s="28"/>
      <c r="Q27" s="69">
        <f t="shared" si="18"/>
        <v>2304.5</v>
      </c>
      <c r="R27" s="28">
        <f t="shared" si="19"/>
        <v>524.57142857142856</v>
      </c>
      <c r="S27" s="28">
        <f t="shared" si="19"/>
        <v>524.57142857142856</v>
      </c>
      <c r="T27" s="28">
        <f t="shared" si="20"/>
        <v>85.8</v>
      </c>
      <c r="U27" s="28">
        <f t="shared" si="21"/>
        <v>17.600000000000001</v>
      </c>
      <c r="V27" s="28">
        <f t="shared" si="6"/>
        <v>13.330521881515477</v>
      </c>
      <c r="W27" s="28">
        <f t="shared" si="7"/>
        <v>76.356000000000009</v>
      </c>
      <c r="X27" s="28">
        <f t="shared" si="22"/>
        <v>20.88</v>
      </c>
      <c r="Y27" s="28">
        <f t="shared" si="23"/>
        <v>31.714285714285715</v>
      </c>
      <c r="Z27" s="28"/>
      <c r="AC27" s="14">
        <f t="shared" si="24"/>
        <v>2460.494285714286</v>
      </c>
      <c r="AD27" s="14">
        <f t="shared" si="25"/>
        <v>770.25223616722963</v>
      </c>
      <c r="AE27" s="29">
        <f t="shared" si="12"/>
        <v>770.25223616722963</v>
      </c>
      <c r="AF27" s="29"/>
      <c r="AG27" s="29">
        <f t="shared" si="13"/>
        <v>847.27745978395262</v>
      </c>
      <c r="AH27" s="29">
        <f t="shared" si="14"/>
        <v>2541.832379351858</v>
      </c>
      <c r="AI27" s="14"/>
      <c r="AJ27" s="29"/>
      <c r="AK27" s="30"/>
      <c r="AL27" s="30"/>
      <c r="AM27" s="30"/>
      <c r="AN27" s="16"/>
      <c r="AO27" s="16"/>
      <c r="AP27" s="15"/>
      <c r="AQ27" s="33"/>
      <c r="AR27" s="31"/>
      <c r="AS27" s="34"/>
      <c r="AV27" s="14"/>
      <c r="AW27" s="14"/>
    </row>
    <row r="28" spans="1:50" x14ac:dyDescent="0.2">
      <c r="A28" s="27">
        <v>1948</v>
      </c>
      <c r="B28" s="28">
        <f>(4*12+1)/10</f>
        <v>4.9000000000000004</v>
      </c>
      <c r="C28" s="28">
        <v>5.5</v>
      </c>
      <c r="D28" s="28">
        <f>(12+6)/14</f>
        <v>1.2857142857142858</v>
      </c>
      <c r="E28" s="28">
        <f>(12+6)/14</f>
        <v>1.2857142857142858</v>
      </c>
      <c r="F28" s="35">
        <v>13</v>
      </c>
      <c r="G28" s="28">
        <f>(12*3+11.5)/10</f>
        <v>4.75</v>
      </c>
      <c r="H28" s="28"/>
      <c r="I28" s="28"/>
      <c r="J28" s="28"/>
      <c r="K28" s="6">
        <f>1.2*23.23</f>
        <v>27.876000000000001</v>
      </c>
      <c r="L28" s="28">
        <f t="shared" si="17"/>
        <v>10.571428571428571</v>
      </c>
      <c r="M28" s="28">
        <f>((12+6)/2.5)</f>
        <v>7.2</v>
      </c>
      <c r="N28" s="28"/>
      <c r="O28" s="28"/>
      <c r="Q28" s="69">
        <f t="shared" si="18"/>
        <v>2304.5</v>
      </c>
      <c r="R28" s="28">
        <f t="shared" si="19"/>
        <v>524.57142857142856</v>
      </c>
      <c r="S28" s="28">
        <f t="shared" si="19"/>
        <v>524.57142857142856</v>
      </c>
      <c r="T28" s="28">
        <f t="shared" si="20"/>
        <v>85.8</v>
      </c>
      <c r="U28" s="28">
        <f t="shared" si="21"/>
        <v>20.900000000000002</v>
      </c>
      <c r="V28" s="52">
        <f>V27*1.01</f>
        <v>13.463827100330631</v>
      </c>
      <c r="W28" s="28">
        <f t="shared" si="7"/>
        <v>83.628</v>
      </c>
      <c r="X28" s="28">
        <f t="shared" si="22"/>
        <v>20.88</v>
      </c>
      <c r="Y28" s="28">
        <f t="shared" si="23"/>
        <v>31.714285714285715</v>
      </c>
      <c r="Z28" s="28"/>
      <c r="AC28" s="14">
        <f t="shared" si="24"/>
        <v>2463.7942857142862</v>
      </c>
      <c r="AD28" s="14">
        <f t="shared" si="25"/>
        <v>780.9575413860448</v>
      </c>
      <c r="AE28" s="29">
        <f t="shared" si="12"/>
        <v>780.9575413860448</v>
      </c>
      <c r="AF28" s="29"/>
      <c r="AG28" s="29">
        <f t="shared" si="13"/>
        <v>859.05329552464934</v>
      </c>
      <c r="AH28" s="29">
        <f t="shared" si="14"/>
        <v>2577.1598865739479</v>
      </c>
      <c r="AI28" s="14"/>
      <c r="AJ28" s="29"/>
      <c r="AK28" s="30"/>
      <c r="AL28" s="30"/>
      <c r="AM28" s="30"/>
      <c r="AN28" s="16"/>
      <c r="AO28" s="16"/>
      <c r="AP28" s="15"/>
      <c r="AQ28" s="33"/>
      <c r="AR28" s="31"/>
      <c r="AS28" s="34"/>
      <c r="AV28" s="14"/>
      <c r="AW28" s="14"/>
    </row>
    <row r="29" spans="1:50" x14ac:dyDescent="0.2">
      <c r="A29" s="27">
        <v>1949</v>
      </c>
      <c r="B29" s="28"/>
      <c r="C29" s="28"/>
      <c r="D29" s="28"/>
      <c r="E29" s="28"/>
      <c r="F29" s="35"/>
      <c r="G29" s="28"/>
      <c r="H29" s="28"/>
      <c r="I29" s="28"/>
      <c r="J29" s="28"/>
      <c r="K29" s="6">
        <f>1.2*24.85</f>
        <v>29.82</v>
      </c>
      <c r="L29" s="28"/>
      <c r="M29" s="35"/>
      <c r="N29" s="35"/>
      <c r="O29" s="35"/>
      <c r="Q29" s="70">
        <f>Q19*1.72</f>
        <v>2162.04</v>
      </c>
      <c r="R29" s="52">
        <f>R19*1.72</f>
        <v>547.37279999999998</v>
      </c>
      <c r="S29" s="52">
        <f>S19*1.72</f>
        <v>654.976</v>
      </c>
      <c r="T29" s="52">
        <f>T19*1.72</f>
        <v>90.815999999999988</v>
      </c>
      <c r="U29" s="52">
        <f>U19*1.72</f>
        <v>26.488000000000003</v>
      </c>
      <c r="V29" s="52">
        <f>V28*1.01</f>
        <v>13.598465371333937</v>
      </c>
      <c r="W29" s="28">
        <f t="shared" si="7"/>
        <v>89.460000000000008</v>
      </c>
      <c r="X29" s="52">
        <f>X19*1.9325</f>
        <v>22.417000000000002</v>
      </c>
      <c r="Y29" s="52">
        <f>Y19*1.21</f>
        <v>39.411428571428566</v>
      </c>
      <c r="Z29" s="28"/>
      <c r="AC29" s="14">
        <f t="shared" si="24"/>
        <v>2341.1724285714281</v>
      </c>
      <c r="AD29" s="14">
        <f t="shared" si="25"/>
        <v>829.56369394276271</v>
      </c>
      <c r="AE29" s="29">
        <f t="shared" si="12"/>
        <v>937.16689394276273</v>
      </c>
      <c r="AF29" s="29"/>
      <c r="AG29" s="29">
        <f t="shared" si="13"/>
        <v>1030.883583337039</v>
      </c>
      <c r="AH29" s="29">
        <f t="shared" si="14"/>
        <v>3092.650750011117</v>
      </c>
      <c r="AI29" s="14"/>
      <c r="AJ29" s="29"/>
      <c r="AK29" s="30"/>
      <c r="AL29" s="30"/>
      <c r="AM29" s="30"/>
      <c r="AN29" s="16"/>
      <c r="AO29" s="16"/>
      <c r="AP29" s="15"/>
      <c r="AQ29" s="31"/>
      <c r="AR29" s="31"/>
      <c r="AS29" s="34"/>
      <c r="AV29" s="14"/>
      <c r="AW29" s="14"/>
    </row>
    <row r="30" spans="1:50" x14ac:dyDescent="0.2">
      <c r="A30" s="27">
        <v>1950</v>
      </c>
      <c r="J30" s="25"/>
      <c r="K30" s="6">
        <f>1.2*36.15</f>
        <v>43.379999999999995</v>
      </c>
      <c r="Q30" s="70">
        <f>Q19*1.78</f>
        <v>2237.46</v>
      </c>
      <c r="R30" s="52">
        <f t="shared" ref="R30:U30" si="26">R19*1.78</f>
        <v>566.46720000000005</v>
      </c>
      <c r="S30" s="52">
        <f t="shared" si="26"/>
        <v>677.82400000000007</v>
      </c>
      <c r="T30" s="52">
        <f t="shared" si="26"/>
        <v>93.983999999999995</v>
      </c>
      <c r="U30" s="52">
        <f t="shared" si="26"/>
        <v>27.412000000000003</v>
      </c>
      <c r="V30" s="52">
        <f t="shared" ref="V30:X40" si="27">V29*1.01</f>
        <v>13.734450025047277</v>
      </c>
      <c r="W30" s="52">
        <f>W29*1.01</f>
        <v>90.354600000000005</v>
      </c>
      <c r="X30" s="52">
        <f>X19*1.95</f>
        <v>22.619999999999997</v>
      </c>
      <c r="Y30" s="52">
        <f>Y19*1.22</f>
        <v>39.737142857142857</v>
      </c>
      <c r="Z30" s="28"/>
      <c r="AC30" s="14">
        <f t="shared" si="24"/>
        <v>2421.2131428571424</v>
      </c>
      <c r="AD30" s="14">
        <f t="shared" si="25"/>
        <v>854.30939288219031</v>
      </c>
      <c r="AE30" s="29">
        <f t="shared" si="12"/>
        <v>965.66619288219033</v>
      </c>
      <c r="AF30" s="29"/>
      <c r="AG30" s="29">
        <f t="shared" si="13"/>
        <v>1062.2328121704095</v>
      </c>
      <c r="AH30" s="29">
        <f t="shared" si="14"/>
        <v>3186.6984365112285</v>
      </c>
      <c r="AI30" s="14"/>
      <c r="AJ30" s="29"/>
      <c r="AK30" s="30"/>
      <c r="AL30" s="30"/>
      <c r="AM30" s="30"/>
      <c r="AN30" s="16"/>
      <c r="AO30" s="16"/>
      <c r="AP30" s="16"/>
      <c r="AQ30" s="31"/>
      <c r="AR30" s="31"/>
      <c r="AT30" s="14"/>
      <c r="AU30" s="14"/>
      <c r="AV30" s="14"/>
      <c r="AW30" s="14"/>
      <c r="AX30" s="14"/>
    </row>
    <row r="31" spans="1:50" x14ac:dyDescent="0.2">
      <c r="A31" s="27">
        <v>1951</v>
      </c>
      <c r="Q31" s="70">
        <f>Q19*1.915</f>
        <v>2407.1550000000002</v>
      </c>
      <c r="R31" s="52">
        <f t="shared" ref="R31:U31" si="28">R19*1.915</f>
        <v>609.42960000000005</v>
      </c>
      <c r="S31" s="52">
        <f t="shared" si="28"/>
        <v>729.23200000000008</v>
      </c>
      <c r="T31" s="52">
        <f t="shared" si="28"/>
        <v>101.11199999999999</v>
      </c>
      <c r="U31" s="52">
        <f t="shared" si="28"/>
        <v>29.491000000000003</v>
      </c>
      <c r="V31" s="52">
        <f t="shared" si="27"/>
        <v>13.87179452529775</v>
      </c>
      <c r="W31" s="52">
        <f t="shared" si="27"/>
        <v>91.258146000000011</v>
      </c>
      <c r="X31" s="52">
        <f t="shared" ref="X31" si="29">X19*2.0425</f>
        <v>23.692999999999998</v>
      </c>
      <c r="Y31" s="52">
        <f>Y19*1.24</f>
        <v>40.388571428571424</v>
      </c>
      <c r="Z31" s="28"/>
      <c r="AC31" s="14">
        <f t="shared" si="24"/>
        <v>2601.8395714285721</v>
      </c>
      <c r="AD31" s="14">
        <f t="shared" si="25"/>
        <v>909.24411195386915</v>
      </c>
      <c r="AE31" s="29">
        <f t="shared" si="12"/>
        <v>1029.0465119538692</v>
      </c>
      <c r="AF31" s="29"/>
      <c r="AG31" s="29">
        <f t="shared" si="13"/>
        <v>1131.9511631492562</v>
      </c>
      <c r="AH31" s="29">
        <f t="shared" si="14"/>
        <v>3395.8534894477689</v>
      </c>
      <c r="AI31" s="14"/>
      <c r="AJ31" s="29"/>
      <c r="AK31" s="30"/>
      <c r="AL31" s="30"/>
      <c r="AM31" s="30"/>
      <c r="AN31" s="16"/>
      <c r="AO31" s="16"/>
      <c r="AP31" s="16"/>
      <c r="AQ31" s="31"/>
      <c r="AR31" s="31"/>
      <c r="AV31" s="14"/>
      <c r="AW31" s="14"/>
    </row>
    <row r="32" spans="1:50" x14ac:dyDescent="0.2">
      <c r="A32" s="27">
        <v>1952</v>
      </c>
      <c r="Q32" s="70">
        <f>Q19*2.0925</f>
        <v>2630.2724999999996</v>
      </c>
      <c r="R32" s="52">
        <f t="shared" ref="R32:U32" si="30">R19*2.0925</f>
        <v>665.91719999999998</v>
      </c>
      <c r="S32" s="52">
        <f t="shared" si="30"/>
        <v>796.82399999999996</v>
      </c>
      <c r="T32" s="52">
        <f t="shared" si="30"/>
        <v>110.48399999999998</v>
      </c>
      <c r="U32" s="52">
        <f t="shared" si="30"/>
        <v>32.224499999999999</v>
      </c>
      <c r="V32" s="52">
        <f t="shared" si="27"/>
        <v>14.010512470550728</v>
      </c>
      <c r="W32" s="52">
        <f t="shared" si="27"/>
        <v>92.170727460000009</v>
      </c>
      <c r="X32" s="52">
        <f t="shared" ref="X32" si="31">X19*2.095</f>
        <v>24.302000000000003</v>
      </c>
      <c r="Y32" s="52">
        <f>Y19*1.25</f>
        <v>40.714285714285708</v>
      </c>
      <c r="Z32" s="28"/>
      <c r="AC32" s="14">
        <f t="shared" si="24"/>
        <v>2837.9972857142852</v>
      </c>
      <c r="AD32" s="14">
        <f t="shared" si="25"/>
        <v>979.82322564483638</v>
      </c>
      <c r="AE32" s="29">
        <f t="shared" si="12"/>
        <v>1110.7300256448364</v>
      </c>
      <c r="AF32" s="29"/>
      <c r="AG32" s="29">
        <f t="shared" si="13"/>
        <v>1221.80302820932</v>
      </c>
      <c r="AH32" s="29">
        <f t="shared" si="14"/>
        <v>3665.4090846279601</v>
      </c>
      <c r="AI32" s="14"/>
      <c r="AJ32" s="29"/>
      <c r="AK32" s="30"/>
      <c r="AL32" s="30"/>
      <c r="AM32" s="30"/>
      <c r="AN32" s="16"/>
      <c r="AO32" s="16"/>
      <c r="AP32" s="16"/>
      <c r="AQ32" s="31"/>
      <c r="AR32" s="31"/>
      <c r="AV32" s="14"/>
      <c r="AW32" s="14"/>
    </row>
    <row r="33" spans="1:49" x14ac:dyDescent="0.2">
      <c r="A33" s="27">
        <v>1953</v>
      </c>
      <c r="C33" s="28">
        <v>6</v>
      </c>
      <c r="D33" s="28">
        <v>1.5</v>
      </c>
      <c r="E33" s="28">
        <v>1.5</v>
      </c>
      <c r="F33" s="28">
        <v>11</v>
      </c>
      <c r="G33" s="28">
        <v>8.5</v>
      </c>
      <c r="H33" s="28"/>
      <c r="I33" s="28"/>
      <c r="J33" s="28">
        <v>12</v>
      </c>
      <c r="K33" s="28"/>
      <c r="L33" s="28">
        <v>16</v>
      </c>
      <c r="M33" s="28"/>
      <c r="N33" s="28">
        <v>3</v>
      </c>
      <c r="O33" s="28">
        <v>4</v>
      </c>
      <c r="Q33" s="70">
        <f>Q19*2.21</f>
        <v>2777.97</v>
      </c>
      <c r="R33" s="52">
        <f t="shared" ref="R33:U33" si="32">R19*2.21</f>
        <v>703.31039999999996</v>
      </c>
      <c r="S33" s="52">
        <f t="shared" si="32"/>
        <v>841.56799999999998</v>
      </c>
      <c r="T33" s="52">
        <f t="shared" si="32"/>
        <v>116.68799999999999</v>
      </c>
      <c r="U33" s="52">
        <f t="shared" si="32"/>
        <v>34.034000000000006</v>
      </c>
      <c r="V33" s="52">
        <f>J33*3</f>
        <v>36</v>
      </c>
      <c r="W33" s="52">
        <f t="shared" si="27"/>
        <v>93.092434734600005</v>
      </c>
      <c r="X33" s="52">
        <f t="shared" ref="X33" si="33">X19*2.1075</f>
        <v>24.446999999999999</v>
      </c>
      <c r="Y33" s="52">
        <f>Y19*1.26</f>
        <v>41.04</v>
      </c>
      <c r="Z33" s="28"/>
      <c r="AC33" s="14">
        <f t="shared" si="24"/>
        <v>2994.1790000000001</v>
      </c>
      <c r="AD33" s="14">
        <f t="shared" si="25"/>
        <v>1048.6118347345998</v>
      </c>
      <c r="AE33" s="29">
        <f t="shared" si="12"/>
        <v>1186.8694347345997</v>
      </c>
      <c r="AF33" s="29"/>
      <c r="AG33" s="29">
        <f t="shared" si="13"/>
        <v>1305.5563782080599</v>
      </c>
      <c r="AH33" s="29">
        <f t="shared" si="14"/>
        <v>3916.6691346241796</v>
      </c>
      <c r="AI33" s="14"/>
      <c r="AJ33" s="29"/>
      <c r="AK33" s="30"/>
      <c r="AL33" s="30"/>
      <c r="AM33" s="30"/>
      <c r="AN33" s="16"/>
      <c r="AO33" s="16"/>
      <c r="AP33" s="16"/>
      <c r="AQ33" s="31"/>
      <c r="AR33" s="31"/>
      <c r="AV33" s="14"/>
      <c r="AW33" s="14"/>
    </row>
    <row r="34" spans="1:49" x14ac:dyDescent="0.2">
      <c r="A34" s="27">
        <v>1954</v>
      </c>
      <c r="C34" s="28"/>
      <c r="D34" s="28"/>
      <c r="E34" s="28"/>
      <c r="F34" s="28"/>
      <c r="G34" s="28"/>
      <c r="H34" s="28"/>
      <c r="I34" s="28"/>
      <c r="J34" s="28"/>
      <c r="K34" s="28"/>
      <c r="L34" s="28"/>
      <c r="M34" s="28"/>
      <c r="N34" s="28"/>
      <c r="O34" s="28"/>
      <c r="Q34" s="70">
        <f t="shared" ref="Q34:R34" si="34">Q19*2.345</f>
        <v>2947.6650000000004</v>
      </c>
      <c r="R34" s="52">
        <f t="shared" si="34"/>
        <v>746.27280000000007</v>
      </c>
      <c r="S34" s="52">
        <f>S19*2.345</f>
        <v>892.97600000000011</v>
      </c>
      <c r="T34" s="52">
        <f t="shared" ref="T34:U34" si="35">T19*2.345</f>
        <v>123.816</v>
      </c>
      <c r="U34" s="52">
        <f t="shared" si="35"/>
        <v>36.113000000000007</v>
      </c>
      <c r="V34" s="52">
        <f>AVERAGE(V33,V35)</f>
        <v>45</v>
      </c>
      <c r="W34" s="52">
        <f t="shared" si="27"/>
        <v>94.023359081946012</v>
      </c>
      <c r="X34" s="52">
        <f t="shared" ref="X34" si="36">X19*2.11</f>
        <v>24.475999999999999</v>
      </c>
      <c r="Y34" s="52">
        <f>Y19*1.27</f>
        <v>41.365714285714283</v>
      </c>
      <c r="Z34" s="28"/>
      <c r="AC34" s="14">
        <f t="shared" si="24"/>
        <v>3173.4357142857143</v>
      </c>
      <c r="AD34" s="14">
        <f t="shared" si="25"/>
        <v>1111.0668733676605</v>
      </c>
      <c r="AE34" s="29">
        <f t="shared" si="12"/>
        <v>1257.7700733676604</v>
      </c>
      <c r="AF34" s="29"/>
      <c r="AG34" s="29">
        <f t="shared" si="13"/>
        <v>1383.5470807044267</v>
      </c>
      <c r="AH34" s="29">
        <f t="shared" si="14"/>
        <v>4150.64124211328</v>
      </c>
      <c r="AI34" s="14"/>
      <c r="AJ34" s="29"/>
      <c r="AK34" s="30"/>
      <c r="AL34" s="30"/>
      <c r="AM34" s="30"/>
      <c r="AN34" s="16"/>
      <c r="AO34" s="16"/>
      <c r="AP34" s="16"/>
      <c r="AQ34" s="31"/>
      <c r="AR34" s="31"/>
      <c r="AV34" s="14"/>
      <c r="AW34" s="14"/>
    </row>
    <row r="35" spans="1:49" x14ac:dyDescent="0.2">
      <c r="A35" s="27">
        <v>1955</v>
      </c>
      <c r="C35" s="28">
        <v>10</v>
      </c>
      <c r="D35" s="28">
        <v>2.75</v>
      </c>
      <c r="E35" s="28">
        <v>2.75</v>
      </c>
      <c r="F35" s="28">
        <f>12+6.5</f>
        <v>18.5</v>
      </c>
      <c r="G35" s="28">
        <v>8.5</v>
      </c>
      <c r="H35" s="28"/>
      <c r="I35" s="28"/>
      <c r="J35" s="28">
        <v>18</v>
      </c>
      <c r="K35" s="28"/>
      <c r="L35" s="28">
        <v>16</v>
      </c>
      <c r="M35" s="28"/>
      <c r="N35" s="28">
        <v>3</v>
      </c>
      <c r="O35" s="28">
        <v>6</v>
      </c>
      <c r="Q35" s="70">
        <f>Q19*2.48</f>
        <v>3117.36</v>
      </c>
      <c r="R35" s="52">
        <f t="shared" ref="R35:U35" si="37">R19*2.48</f>
        <v>789.23519999999996</v>
      </c>
      <c r="S35" s="52">
        <f t="shared" si="37"/>
        <v>944.38400000000001</v>
      </c>
      <c r="T35" s="52">
        <f t="shared" si="37"/>
        <v>130.94399999999999</v>
      </c>
      <c r="U35" s="52">
        <f t="shared" si="37"/>
        <v>38.192000000000007</v>
      </c>
      <c r="V35" s="52">
        <f>J35*3</f>
        <v>54</v>
      </c>
      <c r="W35" s="52">
        <f t="shared" si="27"/>
        <v>94.963592672765472</v>
      </c>
      <c r="X35" s="52">
        <f>X29*1.24</f>
        <v>27.797080000000001</v>
      </c>
      <c r="Y35" s="52">
        <f>Y19*1.29</f>
        <v>42.017142857142858</v>
      </c>
      <c r="Z35" s="28"/>
      <c r="AC35" s="14">
        <f t="shared" si="24"/>
        <v>3356.3102228571429</v>
      </c>
      <c r="AD35" s="14">
        <f>SUM(R35+T35+U35+V35+X35+Y35)</f>
        <v>1082.1854228571428</v>
      </c>
      <c r="AE35" s="29">
        <f t="shared" si="12"/>
        <v>1332.2978155299083</v>
      </c>
      <c r="AF35" s="29"/>
      <c r="AG35" s="29">
        <f t="shared" si="13"/>
        <v>1465.5275970828993</v>
      </c>
      <c r="AH35" s="29">
        <f t="shared" si="14"/>
        <v>4396.5827912486984</v>
      </c>
      <c r="AI35" s="14"/>
      <c r="AJ35" s="29"/>
      <c r="AK35" s="30"/>
      <c r="AL35" s="30"/>
      <c r="AM35" s="30"/>
      <c r="AN35" s="16"/>
      <c r="AO35" s="16"/>
      <c r="AP35" s="16"/>
      <c r="AQ35" s="31"/>
      <c r="AR35" s="31"/>
      <c r="AU35" s="14"/>
      <c r="AV35" s="14"/>
      <c r="AW35" s="14"/>
    </row>
    <row r="36" spans="1:49" x14ac:dyDescent="0.2">
      <c r="A36" s="27">
        <v>1956</v>
      </c>
      <c r="C36" s="28"/>
      <c r="D36" s="28"/>
      <c r="E36" s="28"/>
      <c r="F36" s="28"/>
      <c r="G36" s="28"/>
      <c r="H36" s="28"/>
      <c r="I36" s="28"/>
      <c r="J36" s="28"/>
      <c r="K36" s="28"/>
      <c r="L36" s="28"/>
      <c r="M36" s="28"/>
      <c r="N36" s="28"/>
      <c r="O36" s="28"/>
      <c r="Q36" s="70">
        <f>Q19*2.59</f>
        <v>3255.6299999999997</v>
      </c>
      <c r="R36" s="52">
        <f t="shared" ref="R36:U36" si="38">R19*2.59</f>
        <v>824.24159999999995</v>
      </c>
      <c r="S36" s="52">
        <f t="shared" si="38"/>
        <v>986.27199999999993</v>
      </c>
      <c r="T36" s="52">
        <f t="shared" si="38"/>
        <v>136.75199999999998</v>
      </c>
      <c r="U36" s="52">
        <f t="shared" si="38"/>
        <v>39.886000000000003</v>
      </c>
      <c r="V36" s="52">
        <f t="shared" si="27"/>
        <v>54.54</v>
      </c>
      <c r="W36" s="52">
        <f t="shared" si="27"/>
        <v>95.913228599493124</v>
      </c>
      <c r="X36" s="52">
        <f>X29*1.26</f>
        <v>28.245420000000003</v>
      </c>
      <c r="Y36" s="52">
        <f>Y19*1.3</f>
        <v>42.342857142857142</v>
      </c>
      <c r="Z36" s="28"/>
      <c r="AC36" s="14">
        <f t="shared" ref="AC36:AC40" si="39">Q36+T36+U36+X36+Y36</f>
        <v>3502.8562771428569</v>
      </c>
      <c r="AD36" s="14">
        <f t="shared" ref="AD36" si="40">R36+T36+U36+X36+Y36+V36+W36</f>
        <v>1221.9211057423502</v>
      </c>
      <c r="AE36" s="29">
        <f t="shared" ref="AE36:AE40" si="41">SUM(S36:Y36)</f>
        <v>1383.95150574235</v>
      </c>
      <c r="AF36" s="29"/>
      <c r="AG36" s="29">
        <f t="shared" ref="AG36:AG40" si="42">AE36*1.1</f>
        <v>1522.3466563165853</v>
      </c>
      <c r="AH36" s="29">
        <f t="shared" si="14"/>
        <v>4567.0399689497553</v>
      </c>
      <c r="AK36" s="30"/>
      <c r="AL36" s="30"/>
      <c r="AM36" s="30"/>
      <c r="AN36" s="16"/>
      <c r="AO36" s="16"/>
      <c r="AP36" s="16"/>
      <c r="AQ36" s="36"/>
      <c r="AR36" s="31"/>
      <c r="AV36" s="14"/>
      <c r="AW36" s="14"/>
    </row>
    <row r="37" spans="1:49" x14ac:dyDescent="0.2">
      <c r="A37" s="27">
        <v>1957</v>
      </c>
      <c r="Q37" s="70">
        <f>Q19*2.68</f>
        <v>3368.76</v>
      </c>
      <c r="R37" s="52">
        <f t="shared" ref="R37:U37" si="43">R19*2.68</f>
        <v>852.8832000000001</v>
      </c>
      <c r="S37" s="52">
        <f t="shared" si="43"/>
        <v>1020.5440000000001</v>
      </c>
      <c r="T37" s="52">
        <f t="shared" si="43"/>
        <v>141.50399999999999</v>
      </c>
      <c r="U37" s="52">
        <f t="shared" si="43"/>
        <v>41.272000000000006</v>
      </c>
      <c r="V37" s="52">
        <f t="shared" si="27"/>
        <v>55.0854</v>
      </c>
      <c r="W37" s="52">
        <f t="shared" si="27"/>
        <v>96.87236088548805</v>
      </c>
      <c r="X37" s="52">
        <f t="shared" ref="X37" si="44">X35*1.07</f>
        <v>29.742875600000001</v>
      </c>
      <c r="Y37" s="52">
        <f>Y19*1.31</f>
        <v>42.668571428571425</v>
      </c>
      <c r="Z37" s="28"/>
      <c r="AC37" s="14">
        <f t="shared" si="39"/>
        <v>3623.9474470285713</v>
      </c>
      <c r="AD37" s="14">
        <f t="shared" ref="AD37" si="45">SUM(R37+T37+U37+V37+X37+Y37)</f>
        <v>1163.1560470285713</v>
      </c>
      <c r="AE37" s="29">
        <f t="shared" si="41"/>
        <v>1427.6892079140591</v>
      </c>
      <c r="AF37" s="29"/>
      <c r="AG37" s="29">
        <f t="shared" si="42"/>
        <v>1570.4581287054652</v>
      </c>
      <c r="AH37" s="29">
        <f t="shared" si="14"/>
        <v>4711.3743861163957</v>
      </c>
      <c r="AK37" s="30"/>
      <c r="AL37" s="37"/>
      <c r="AM37" s="30"/>
      <c r="AN37" s="16"/>
      <c r="AO37" s="16"/>
      <c r="AP37" s="16"/>
      <c r="AQ37" s="36"/>
      <c r="AR37" s="31"/>
    </row>
    <row r="38" spans="1:49" x14ac:dyDescent="0.2">
      <c r="A38" s="27">
        <v>1958</v>
      </c>
      <c r="Q38" s="70">
        <f>Q19*2.75</f>
        <v>3456.75</v>
      </c>
      <c r="R38" s="52">
        <f t="shared" ref="R38:U38" si="46">R19*2.75</f>
        <v>875.16000000000008</v>
      </c>
      <c r="S38" s="52">
        <f t="shared" si="46"/>
        <v>1047.2</v>
      </c>
      <c r="T38" s="52">
        <f t="shared" si="46"/>
        <v>145.19999999999999</v>
      </c>
      <c r="U38" s="52">
        <f t="shared" si="46"/>
        <v>42.350000000000009</v>
      </c>
      <c r="V38" s="52">
        <f t="shared" si="27"/>
        <v>55.636254000000001</v>
      </c>
      <c r="W38" s="52">
        <f t="shared" si="27"/>
        <v>97.841084494342937</v>
      </c>
      <c r="X38" s="52">
        <f t="shared" ref="X38" si="47">X35*1.1</f>
        <v>30.576788000000004</v>
      </c>
      <c r="Y38" s="52">
        <f>Y19*1.33</f>
        <v>43.32</v>
      </c>
      <c r="Z38" s="28"/>
      <c r="AC38" s="14">
        <f t="shared" si="39"/>
        <v>3718.1967879999997</v>
      </c>
      <c r="AD38" s="14">
        <f t="shared" ref="AD38" si="48">R38+T38+U38+X38+Y38+V38+W38</f>
        <v>1290.0841264943431</v>
      </c>
      <c r="AE38" s="29">
        <f t="shared" si="41"/>
        <v>1462.124126494343</v>
      </c>
      <c r="AF38" s="29"/>
      <c r="AG38" s="29">
        <f t="shared" si="42"/>
        <v>1608.3365391437774</v>
      </c>
      <c r="AH38" s="29">
        <f t="shared" si="14"/>
        <v>4825.0096174313321</v>
      </c>
      <c r="AK38" s="30"/>
      <c r="AL38" s="30"/>
      <c r="AM38" s="30"/>
      <c r="AN38" s="16"/>
      <c r="AO38" s="16"/>
      <c r="AP38" s="16"/>
      <c r="AQ38" s="36"/>
      <c r="AR38" s="31"/>
    </row>
    <row r="39" spans="1:49" x14ac:dyDescent="0.2">
      <c r="A39" s="27">
        <v>1959</v>
      </c>
      <c r="Q39" s="70">
        <f>Q35*1.11</f>
        <v>3460.2696000000005</v>
      </c>
      <c r="R39" s="52">
        <f t="shared" ref="R39:X39" si="49">R35*1.11</f>
        <v>876.05107200000009</v>
      </c>
      <c r="S39" s="52">
        <f t="shared" si="49"/>
        <v>1048.2662400000002</v>
      </c>
      <c r="T39" s="52">
        <f t="shared" si="49"/>
        <v>145.34783999999999</v>
      </c>
      <c r="U39" s="52">
        <f t="shared" si="49"/>
        <v>42.39312000000001</v>
      </c>
      <c r="V39" s="52">
        <f t="shared" si="27"/>
        <v>56.192616540000003</v>
      </c>
      <c r="W39" s="52">
        <f t="shared" si="27"/>
        <v>98.819495339286362</v>
      </c>
      <c r="X39" s="52">
        <f t="shared" si="49"/>
        <v>30.854758800000003</v>
      </c>
      <c r="Y39" s="52">
        <f>Y19*1.33</f>
        <v>43.32</v>
      </c>
      <c r="Z39" s="28"/>
      <c r="AC39" s="14">
        <f t="shared" si="39"/>
        <v>3722.1853188000009</v>
      </c>
      <c r="AD39" s="14">
        <f t="shared" ref="AD39" si="50">SUM(R39+T39+U39+V39+X39+Y39)</f>
        <v>1194.1594073399999</v>
      </c>
      <c r="AE39" s="29">
        <f t="shared" si="41"/>
        <v>1465.1940706792861</v>
      </c>
      <c r="AF39" s="29"/>
      <c r="AG39" s="29">
        <f t="shared" si="42"/>
        <v>1611.7134777472149</v>
      </c>
      <c r="AH39" s="29">
        <f t="shared" si="14"/>
        <v>4835.140433241645</v>
      </c>
      <c r="AK39" s="30"/>
      <c r="AL39" s="30"/>
      <c r="AM39" s="30"/>
      <c r="AN39" s="16"/>
      <c r="AO39" s="16"/>
      <c r="AP39" s="16"/>
      <c r="AQ39" s="36"/>
      <c r="AR39" s="31"/>
    </row>
    <row r="40" spans="1:49" x14ac:dyDescent="0.2">
      <c r="A40" s="27">
        <v>1960</v>
      </c>
      <c r="B40" s="38"/>
      <c r="Q40" s="70">
        <f>Q19*2.79</f>
        <v>3507.03</v>
      </c>
      <c r="R40" s="52">
        <f t="shared" ref="R40:U40" si="51">R19*2.79</f>
        <v>887.88960000000009</v>
      </c>
      <c r="S40" s="52">
        <f t="shared" si="51"/>
        <v>1062.432</v>
      </c>
      <c r="T40" s="52">
        <f t="shared" si="51"/>
        <v>147.31199999999998</v>
      </c>
      <c r="U40" s="52">
        <f t="shared" si="51"/>
        <v>42.966000000000008</v>
      </c>
      <c r="V40" s="52">
        <f t="shared" si="27"/>
        <v>56.754542705400006</v>
      </c>
      <c r="W40" s="52">
        <f t="shared" si="27"/>
        <v>99.807690292679226</v>
      </c>
      <c r="X40" s="52">
        <f t="shared" si="27"/>
        <v>31.163306388000002</v>
      </c>
      <c r="Y40" s="52">
        <f>Y19*1.34</f>
        <v>43.645714285714284</v>
      </c>
      <c r="Z40" s="28"/>
      <c r="AC40" s="14">
        <f t="shared" si="39"/>
        <v>3772.1170206737143</v>
      </c>
      <c r="AD40" s="14">
        <f t="shared" ref="AD40" si="52">R40+T40+U40+X40+Y40+V40+W40</f>
        <v>1309.5388536717935</v>
      </c>
      <c r="AE40" s="29">
        <f t="shared" si="41"/>
        <v>1484.0812536717933</v>
      </c>
      <c r="AF40" s="29"/>
      <c r="AG40" s="29">
        <f t="shared" si="42"/>
        <v>1632.4893790389729</v>
      </c>
      <c r="AH40" s="29">
        <f t="shared" si="14"/>
        <v>4897.468137116919</v>
      </c>
      <c r="AK40" s="30"/>
      <c r="AL40" s="30"/>
      <c r="AM40" s="30"/>
      <c r="AN40" s="16"/>
      <c r="AO40" s="16"/>
      <c r="AP40" s="16"/>
      <c r="AQ40" s="36"/>
      <c r="AR40" s="31"/>
    </row>
    <row r="41" spans="1:49" x14ac:dyDescent="0.2">
      <c r="A41" s="27">
        <v>1961</v>
      </c>
      <c r="R41" s="28"/>
      <c r="S41" s="28"/>
      <c r="T41" s="28"/>
      <c r="U41" s="28"/>
      <c r="V41" s="28"/>
      <c r="W41" s="28"/>
      <c r="X41" s="28"/>
      <c r="Y41" s="52"/>
      <c r="Z41" s="28"/>
      <c r="AL41" s="30"/>
      <c r="AM41" s="30"/>
      <c r="AN41" s="16"/>
      <c r="AO41" s="16"/>
      <c r="AQ41" s="36"/>
      <c r="AR41" s="31"/>
    </row>
    <row r="42" spans="1:49" x14ac:dyDescent="0.2">
      <c r="A42" s="27">
        <v>1962</v>
      </c>
      <c r="R42" s="28"/>
      <c r="S42" s="28"/>
      <c r="T42" s="28"/>
      <c r="U42" s="28"/>
      <c r="V42" s="28"/>
      <c r="W42" s="28"/>
      <c r="X42" s="28"/>
      <c r="Y42" s="52"/>
      <c r="Z42" s="28"/>
    </row>
    <row r="43" spans="1:49" x14ac:dyDescent="0.2">
      <c r="A43" s="27">
        <v>1963</v>
      </c>
      <c r="R43" s="28"/>
      <c r="S43" s="28"/>
      <c r="T43" s="28"/>
      <c r="U43" s="28"/>
      <c r="V43" s="28"/>
      <c r="W43" s="28"/>
      <c r="X43" s="28"/>
      <c r="Y43" s="28"/>
      <c r="Z43" s="28"/>
      <c r="AK43" s="39"/>
    </row>
    <row r="44" spans="1:49" x14ac:dyDescent="0.2">
      <c r="A44" s="27">
        <v>1964</v>
      </c>
      <c r="R44" s="28"/>
      <c r="S44" s="28"/>
      <c r="T44" s="28"/>
      <c r="U44" s="28"/>
      <c r="V44" s="28"/>
      <c r="W44" s="28"/>
      <c r="X44" s="28"/>
      <c r="Y44" s="28"/>
      <c r="Z44" s="28"/>
    </row>
    <row r="45" spans="1:49" x14ac:dyDescent="0.2">
      <c r="A45" s="27">
        <v>1965</v>
      </c>
      <c r="R45" s="28"/>
      <c r="S45" s="28"/>
      <c r="T45" s="28"/>
      <c r="U45" s="28"/>
      <c r="V45" s="28"/>
      <c r="W45" s="28"/>
      <c r="X45" s="28"/>
      <c r="Y45" s="28"/>
      <c r="Z45" s="28"/>
    </row>
    <row r="46" spans="1:49" x14ac:dyDescent="0.2">
      <c r="A46" s="27">
        <v>1966</v>
      </c>
      <c r="R46" s="28"/>
      <c r="S46" s="28"/>
      <c r="T46" s="28"/>
      <c r="U46" s="28"/>
      <c r="V46" s="28"/>
      <c r="W46" s="28"/>
      <c r="X46" s="28"/>
      <c r="Y46" s="28"/>
      <c r="Z46" s="28"/>
    </row>
    <row r="47" spans="1:49" x14ac:dyDescent="0.2">
      <c r="A47" s="27">
        <v>1967</v>
      </c>
      <c r="R47" s="28"/>
      <c r="S47" s="28"/>
      <c r="T47" s="28"/>
      <c r="U47" s="28"/>
      <c r="V47" s="28"/>
      <c r="W47" s="28"/>
      <c r="X47" s="28"/>
      <c r="Y47" s="28"/>
      <c r="Z47" s="28"/>
    </row>
    <row r="48" spans="1:49" x14ac:dyDescent="0.2">
      <c r="A48" s="27">
        <v>1968</v>
      </c>
      <c r="R48" s="28"/>
      <c r="S48" s="28"/>
      <c r="T48" s="28"/>
      <c r="U48" s="28"/>
      <c r="V48" s="28"/>
      <c r="W48" s="28"/>
      <c r="X48" s="28"/>
      <c r="Y48" s="28"/>
      <c r="Z48" s="28"/>
    </row>
    <row r="49" spans="1:26" x14ac:dyDescent="0.2">
      <c r="A49" s="27">
        <v>1969</v>
      </c>
      <c r="R49" s="28"/>
      <c r="S49" s="28"/>
      <c r="T49" s="28"/>
      <c r="U49" s="28"/>
      <c r="V49" s="28"/>
      <c r="W49" s="28"/>
      <c r="X49" s="28"/>
      <c r="Y49" s="28"/>
      <c r="Z49" s="28"/>
    </row>
    <row r="50" spans="1:26" x14ac:dyDescent="0.2">
      <c r="A50" s="27">
        <v>1970</v>
      </c>
      <c r="R50" s="28"/>
      <c r="S50" s="28"/>
      <c r="T50" s="28"/>
      <c r="U50" s="28"/>
      <c r="V50" s="28"/>
      <c r="W50" s="28"/>
      <c r="X50" s="28"/>
      <c r="Y50" s="28"/>
      <c r="Z50" s="28"/>
    </row>
    <row r="51" spans="1:26" x14ac:dyDescent="0.2">
      <c r="A51" s="27">
        <v>1971</v>
      </c>
      <c r="R51" s="25"/>
      <c r="S51" s="25"/>
      <c r="T51" s="25"/>
      <c r="U51" s="25"/>
      <c r="V51" s="25"/>
      <c r="W51" s="25"/>
      <c r="X51" s="25"/>
      <c r="Y51" s="25"/>
      <c r="Z51" s="25"/>
    </row>
    <row r="52" spans="1:26" x14ac:dyDescent="0.2">
      <c r="A52" s="27">
        <v>1972</v>
      </c>
      <c r="R52" s="25"/>
      <c r="S52" s="25"/>
      <c r="T52" s="25"/>
      <c r="U52" s="25"/>
      <c r="V52" s="25"/>
      <c r="W52" s="25"/>
      <c r="X52" s="25"/>
      <c r="Y52" s="25"/>
      <c r="Z52" s="25"/>
    </row>
    <row r="53" spans="1:26" x14ac:dyDescent="0.2">
      <c r="A53" s="27">
        <v>1973</v>
      </c>
      <c r="R53" s="25"/>
      <c r="S53" s="25"/>
      <c r="T53" s="25"/>
      <c r="U53" s="25"/>
      <c r="V53" s="25"/>
      <c r="W53" s="25"/>
      <c r="X53" s="25"/>
      <c r="Y53" s="25"/>
      <c r="Z53" s="25"/>
    </row>
    <row r="54" spans="1:26" x14ac:dyDescent="0.2">
      <c r="A54" s="27">
        <v>1974</v>
      </c>
      <c r="R54" s="25"/>
      <c r="S54" s="25"/>
      <c r="T54" s="25"/>
      <c r="U54" s="25"/>
      <c r="V54" s="25"/>
      <c r="W54" s="25"/>
      <c r="X54" s="25"/>
      <c r="Y54" s="25"/>
      <c r="Z54" s="25"/>
    </row>
    <row r="55" spans="1:26" x14ac:dyDescent="0.2">
      <c r="A55" s="27">
        <v>1975</v>
      </c>
      <c r="R55" s="25"/>
      <c r="S55" s="25"/>
      <c r="T55" s="25"/>
      <c r="U55" s="25"/>
      <c r="V55" s="25"/>
      <c r="W55" s="25"/>
      <c r="X55" s="25"/>
      <c r="Y55" s="25"/>
      <c r="Z55" s="25"/>
    </row>
    <row r="56" spans="1:26" x14ac:dyDescent="0.2">
      <c r="R56" s="25"/>
      <c r="S56" s="25"/>
      <c r="T56" s="25"/>
      <c r="U56" s="25"/>
      <c r="V56" s="25"/>
      <c r="W56" s="25"/>
      <c r="X56" s="25"/>
      <c r="Y56" s="25"/>
      <c r="Z56" s="25"/>
    </row>
    <row r="57" spans="1:26" x14ac:dyDescent="0.2">
      <c r="R57" s="25"/>
      <c r="S57" s="25"/>
      <c r="T57" s="25"/>
      <c r="U57" s="25"/>
      <c r="V57" s="25"/>
      <c r="W57" s="25"/>
      <c r="X57" s="25"/>
      <c r="Y57" s="25"/>
      <c r="Z57" s="25"/>
    </row>
    <row r="58" spans="1:26" x14ac:dyDescent="0.2">
      <c r="R58" s="25"/>
      <c r="S58" s="25"/>
      <c r="T58" s="25"/>
      <c r="U58" s="25"/>
      <c r="V58" s="25"/>
      <c r="W58" s="25"/>
      <c r="X58" s="25"/>
      <c r="Y58" s="25"/>
      <c r="Z58" s="25"/>
    </row>
    <row r="59" spans="1:26" x14ac:dyDescent="0.2">
      <c r="R59" s="25"/>
      <c r="S59" s="25"/>
      <c r="T59" s="25"/>
      <c r="U59" s="25"/>
      <c r="V59" s="25"/>
      <c r="W59" s="25"/>
      <c r="X59" s="25"/>
      <c r="Y59" s="25"/>
      <c r="Z59" s="25"/>
    </row>
    <row r="60" spans="1:26" x14ac:dyDescent="0.2">
      <c r="R60" s="25"/>
      <c r="S60" s="25"/>
      <c r="T60" s="25"/>
      <c r="U60" s="25"/>
      <c r="V60" s="25"/>
      <c r="W60" s="25"/>
      <c r="X60" s="25"/>
      <c r="Y60" s="25"/>
      <c r="Z60" s="25"/>
    </row>
  </sheetData>
  <mergeCells count="8">
    <mergeCell ref="AC1:AE2"/>
    <mergeCell ref="V4:V6"/>
    <mergeCell ref="W4:W6"/>
    <mergeCell ref="Z4:AA6"/>
    <mergeCell ref="B1:M1"/>
    <mergeCell ref="Q1:AA1"/>
    <mergeCell ref="J4:J6"/>
    <mergeCell ref="K4:K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topLeftCell="A13" workbookViewId="0">
      <selection activeCell="C34" sqref="C34"/>
    </sheetView>
  </sheetViews>
  <sheetFormatPr baseColWidth="10" defaultRowHeight="12.75" x14ac:dyDescent="0.2"/>
  <cols>
    <col min="1" max="1" width="9.7109375" style="58" customWidth="1"/>
    <col min="2" max="2" width="9.7109375" style="5" customWidth="1"/>
    <col min="3" max="3" width="9.7109375" style="17" customWidth="1"/>
    <col min="4" max="5" width="9.7109375" style="26" customWidth="1"/>
    <col min="6" max="7" width="9.7109375" style="5" customWidth="1"/>
    <col min="8" max="16384" width="11.42578125" style="20"/>
  </cols>
  <sheetData>
    <row r="1" spans="1:7" ht="140.25" x14ac:dyDescent="0.2">
      <c r="A1" s="58" t="s">
        <v>0</v>
      </c>
      <c r="B1" s="24" t="s">
        <v>39</v>
      </c>
      <c r="C1" s="24" t="s">
        <v>40</v>
      </c>
      <c r="D1" s="53" t="s">
        <v>41</v>
      </c>
      <c r="E1" s="13" t="s">
        <v>66</v>
      </c>
      <c r="F1" s="24" t="s">
        <v>42</v>
      </c>
      <c r="G1" s="20"/>
    </row>
    <row r="2" spans="1:7" x14ac:dyDescent="0.2">
      <c r="E2" s="18"/>
      <c r="G2" s="20"/>
    </row>
    <row r="3" spans="1:7" x14ac:dyDescent="0.2">
      <c r="A3" s="27">
        <v>1927</v>
      </c>
      <c r="B3" s="30">
        <v>3897.3650175084149</v>
      </c>
      <c r="C3" s="31">
        <v>1307.944952970116</v>
      </c>
      <c r="D3" s="32"/>
      <c r="F3" s="30"/>
      <c r="G3" s="20"/>
    </row>
    <row r="4" spans="1:7" x14ac:dyDescent="0.2">
      <c r="A4" s="27">
        <v>1928</v>
      </c>
      <c r="B4" s="30">
        <v>2205.7584968838401</v>
      </c>
      <c r="C4" s="31">
        <v>2036.4675298172565</v>
      </c>
      <c r="D4" s="32"/>
      <c r="F4" s="30"/>
      <c r="G4" s="20"/>
    </row>
    <row r="5" spans="1:7" x14ac:dyDescent="0.2">
      <c r="A5" s="27">
        <v>1929</v>
      </c>
      <c r="B5" s="30">
        <v>2191.075679150656</v>
      </c>
      <c r="C5" s="31">
        <v>2414.953415699772</v>
      </c>
      <c r="D5" s="32"/>
      <c r="F5" s="30"/>
      <c r="G5" s="20"/>
    </row>
    <row r="6" spans="1:7" x14ac:dyDescent="0.2">
      <c r="A6" s="27">
        <v>1930</v>
      </c>
      <c r="B6" s="30">
        <v>2101.4297662204199</v>
      </c>
      <c r="C6" s="16">
        <v>2983.9680000000003</v>
      </c>
      <c r="D6" s="14">
        <v>2036.4675298172576</v>
      </c>
      <c r="E6" s="31">
        <v>2.3890570175214041</v>
      </c>
      <c r="F6" s="30"/>
      <c r="G6" s="20"/>
    </row>
    <row r="7" spans="1:7" x14ac:dyDescent="0.2">
      <c r="A7" s="27">
        <v>1931</v>
      </c>
      <c r="B7" s="30">
        <v>2070.2681182172255</v>
      </c>
      <c r="C7" s="16">
        <v>3096.288</v>
      </c>
      <c r="D7" s="14">
        <v>2036.4675298172576</v>
      </c>
      <c r="E7" s="31">
        <v>2.4792709140675164</v>
      </c>
      <c r="F7" s="30"/>
      <c r="G7" s="20"/>
    </row>
    <row r="8" spans="1:7" x14ac:dyDescent="0.2">
      <c r="A8" s="27">
        <v>1932</v>
      </c>
      <c r="B8" s="30">
        <v>1625.1013692250901</v>
      </c>
      <c r="C8" s="16">
        <v>3718.5407999999998</v>
      </c>
      <c r="D8" s="14">
        <v>2036.4675298172576</v>
      </c>
      <c r="E8" s="31">
        <v>3.5413226761118684</v>
      </c>
      <c r="F8" s="30"/>
      <c r="G8" s="20"/>
    </row>
    <row r="9" spans="1:7" x14ac:dyDescent="0.2">
      <c r="A9" s="27">
        <v>1933</v>
      </c>
      <c r="B9" s="30">
        <v>1630.0775789604636</v>
      </c>
      <c r="C9" s="16">
        <v>3481.92</v>
      </c>
      <c r="D9" s="14">
        <v>2036.4675298172576</v>
      </c>
      <c r="E9" s="31">
        <v>3.3853526979595996</v>
      </c>
      <c r="F9" s="30"/>
      <c r="G9" s="20"/>
    </row>
    <row r="10" spans="1:7" x14ac:dyDescent="0.2">
      <c r="A10" s="27">
        <v>1934</v>
      </c>
      <c r="B10" s="30">
        <v>1772.4837685043872</v>
      </c>
      <c r="C10" s="16">
        <v>3294.7200000000003</v>
      </c>
      <c r="D10" s="14">
        <v>2036.4675298172576</v>
      </c>
      <c r="E10" s="31">
        <v>3.0077497038608638</v>
      </c>
      <c r="F10" s="30"/>
      <c r="G10" s="20"/>
    </row>
    <row r="11" spans="1:7" x14ac:dyDescent="0.2">
      <c r="A11" s="27">
        <v>1935</v>
      </c>
      <c r="B11" s="30">
        <v>1284.7799306232864</v>
      </c>
      <c r="C11" s="16">
        <v>3429.5040000000004</v>
      </c>
      <c r="D11" s="14">
        <v>2036.4675298172576</v>
      </c>
      <c r="E11" s="31">
        <v>4.2544029522359885</v>
      </c>
      <c r="F11" s="30"/>
      <c r="G11" s="20"/>
    </row>
    <row r="12" spans="1:7" x14ac:dyDescent="0.2">
      <c r="A12" s="27">
        <v>1936</v>
      </c>
      <c r="B12" s="30">
        <v>1752.0868938110161</v>
      </c>
      <c r="C12" s="16">
        <v>3680.3519999999999</v>
      </c>
      <c r="D12" s="14">
        <v>1439.9999999999995</v>
      </c>
      <c r="E12" s="31">
        <v>2.9224303989070823</v>
      </c>
      <c r="F12" s="30"/>
      <c r="G12" s="20"/>
    </row>
    <row r="13" spans="1:7" x14ac:dyDescent="0.2">
      <c r="A13" s="27">
        <v>1937</v>
      </c>
      <c r="B13" s="30">
        <v>1784.0525842078928</v>
      </c>
      <c r="C13" s="16">
        <v>3714.0480000000002</v>
      </c>
      <c r="D13" s="14">
        <v>1439.9999999999995</v>
      </c>
      <c r="E13" s="31">
        <v>2.888955205481436</v>
      </c>
      <c r="F13" s="30"/>
      <c r="G13" s="20"/>
    </row>
    <row r="14" spans="1:7" x14ac:dyDescent="0.2">
      <c r="A14" s="27">
        <v>1938</v>
      </c>
      <c r="B14" s="30">
        <v>1762.9885760628376</v>
      </c>
      <c r="C14" s="16">
        <v>3672.864</v>
      </c>
      <c r="D14" s="14">
        <v>1439.9999999999995</v>
      </c>
      <c r="E14" s="31">
        <v>2.9001118154822141</v>
      </c>
      <c r="F14" s="30"/>
      <c r="G14" s="20"/>
    </row>
    <row r="15" spans="1:7" x14ac:dyDescent="0.2">
      <c r="A15" s="27">
        <v>1939</v>
      </c>
      <c r="B15" s="30">
        <v>1710.0319642313275</v>
      </c>
      <c r="C15" s="16">
        <v>3699.0719999999997</v>
      </c>
      <c r="D15" s="14">
        <v>1439.9999999999995</v>
      </c>
      <c r="E15" s="31">
        <v>3.0052490874403341</v>
      </c>
      <c r="F15" s="30"/>
      <c r="G15" s="20"/>
    </row>
    <row r="16" spans="1:7" x14ac:dyDescent="0.2">
      <c r="A16" s="27">
        <v>1940</v>
      </c>
      <c r="B16" s="30">
        <v>1855.7778721506099</v>
      </c>
      <c r="C16" s="16">
        <v>3620.4480000000003</v>
      </c>
      <c r="D16" s="14">
        <v>1763.6326148038879</v>
      </c>
      <c r="E16" s="31">
        <v>2.9012527283582843</v>
      </c>
      <c r="F16" s="30"/>
      <c r="G16" s="20"/>
    </row>
    <row r="17" spans="1:7" x14ac:dyDescent="0.2">
      <c r="A17" s="27">
        <v>1941</v>
      </c>
      <c r="B17" s="30">
        <v>2150.908052376883</v>
      </c>
      <c r="C17" s="16">
        <v>4904.6400000000003</v>
      </c>
      <c r="D17" s="15">
        <v>2474.7840000000001</v>
      </c>
      <c r="E17" s="31">
        <v>3.4308412169666167</v>
      </c>
      <c r="F17" s="30"/>
      <c r="G17" s="20"/>
    </row>
    <row r="18" spans="1:7" x14ac:dyDescent="0.2">
      <c r="A18" s="27">
        <v>1942</v>
      </c>
      <c r="B18" s="30">
        <v>2175.2344451590011</v>
      </c>
      <c r="C18" s="16">
        <v>5256.576</v>
      </c>
      <c r="D18" s="15">
        <v>2669.4719999999998</v>
      </c>
      <c r="E18" s="31">
        <v>3.6437672351315844</v>
      </c>
      <c r="F18" s="30"/>
      <c r="G18" s="20"/>
    </row>
    <row r="19" spans="1:7" x14ac:dyDescent="0.2">
      <c r="A19" s="27">
        <v>1943</v>
      </c>
      <c r="B19" s="30">
        <v>2199.5608379411192</v>
      </c>
      <c r="C19" s="16">
        <v>5556.0959999999995</v>
      </c>
      <c r="D19" s="15">
        <v>2980.2240000000002</v>
      </c>
      <c r="E19" s="31">
        <v>3.8809201604036341</v>
      </c>
      <c r="F19" s="30"/>
      <c r="G19" s="20"/>
    </row>
    <row r="20" spans="1:7" x14ac:dyDescent="0.2">
      <c r="A20" s="27">
        <v>1944</v>
      </c>
      <c r="B20" s="30">
        <v>2258.4980752463816</v>
      </c>
      <c r="C20" s="16">
        <v>5541.12</v>
      </c>
      <c r="D20" s="15">
        <v>3028.8960000000002</v>
      </c>
      <c r="E20" s="31">
        <v>3.7945642256370258</v>
      </c>
      <c r="F20" s="30"/>
      <c r="G20" s="20"/>
    </row>
    <row r="21" spans="1:7" x14ac:dyDescent="0.2">
      <c r="A21" s="27">
        <v>1945</v>
      </c>
      <c r="B21" s="30">
        <v>2278.2295653043584</v>
      </c>
      <c r="C21" s="16">
        <v>5799.4559999999992</v>
      </c>
      <c r="D21" s="15">
        <v>3773.9519999999998</v>
      </c>
      <c r="E21" s="31">
        <v>4.2021261359239039</v>
      </c>
      <c r="F21" s="30"/>
      <c r="G21" s="20"/>
    </row>
    <row r="22" spans="1:7" x14ac:dyDescent="0.2">
      <c r="A22" s="27">
        <v>1946</v>
      </c>
      <c r="B22" s="30">
        <v>2313.4103438645357</v>
      </c>
      <c r="C22" s="16">
        <v>6353.5680000000011</v>
      </c>
      <c r="D22" s="15">
        <v>3897.5039999999999</v>
      </c>
      <c r="E22" s="31">
        <v>4.4311516230517309</v>
      </c>
      <c r="F22" s="30"/>
      <c r="G22" s="20"/>
    </row>
    <row r="23" spans="1:7" x14ac:dyDescent="0.2">
      <c r="A23" s="27">
        <v>1947</v>
      </c>
      <c r="B23" s="30">
        <v>2541.832379351858</v>
      </c>
      <c r="C23" s="16">
        <v>7031.2319999999991</v>
      </c>
      <c r="D23" s="15">
        <v>3949.9199999999996</v>
      </c>
      <c r="E23" s="31">
        <v>4.3201715774822587</v>
      </c>
      <c r="F23" s="30"/>
      <c r="G23" s="20"/>
    </row>
    <row r="24" spans="1:7" x14ac:dyDescent="0.2">
      <c r="A24" s="27">
        <v>1948</v>
      </c>
      <c r="B24" s="30">
        <v>2577.1598865739479</v>
      </c>
      <c r="C24" s="16">
        <v>8173.152</v>
      </c>
      <c r="D24" s="15">
        <v>3916.2240000000002</v>
      </c>
      <c r="E24" s="31">
        <v>4.6909685592194679</v>
      </c>
      <c r="F24" s="30"/>
      <c r="G24" s="20"/>
    </row>
    <row r="25" spans="1:7" x14ac:dyDescent="0.2">
      <c r="A25" s="27">
        <v>1949</v>
      </c>
      <c r="B25" s="30">
        <v>3092.650750011117</v>
      </c>
      <c r="C25" s="16">
        <v>8629.9200000000019</v>
      </c>
      <c r="D25" s="15">
        <v>4657.5360000000001</v>
      </c>
      <c r="E25" s="31">
        <v>4.2964618620295996</v>
      </c>
      <c r="F25" s="30"/>
      <c r="G25" s="20"/>
    </row>
    <row r="26" spans="1:7" x14ac:dyDescent="0.2">
      <c r="A26" s="27">
        <v>1950</v>
      </c>
      <c r="B26" s="30">
        <v>3186.6984365112285</v>
      </c>
      <c r="C26" s="16">
        <v>9541.9612799448478</v>
      </c>
      <c r="D26" s="16">
        <v>5047.0040788188653</v>
      </c>
      <c r="E26" s="31">
        <v>4.4318311354457913</v>
      </c>
      <c r="F26" s="30">
        <v>105.16104840487054</v>
      </c>
      <c r="G26" s="20"/>
    </row>
    <row r="27" spans="1:7" x14ac:dyDescent="0.2">
      <c r="A27" s="27">
        <v>1951</v>
      </c>
      <c r="B27" s="30">
        <v>3395.8534894477689</v>
      </c>
      <c r="C27" s="16">
        <v>13128.884624068636</v>
      </c>
      <c r="D27" s="16">
        <v>5616.6177466696772</v>
      </c>
      <c r="E27" s="31">
        <v>5.0228527502410429</v>
      </c>
      <c r="F27" s="30">
        <v>336.18949545532911</v>
      </c>
      <c r="G27" s="20"/>
    </row>
    <row r="28" spans="1:7" x14ac:dyDescent="0.2">
      <c r="A28" s="27">
        <v>1952</v>
      </c>
      <c r="B28" s="30">
        <v>3665.4090846279601</v>
      </c>
      <c r="C28" s="16">
        <v>14247.103741682122</v>
      </c>
      <c r="D28" s="16">
        <v>6466.5626704483475</v>
      </c>
      <c r="E28" s="31">
        <v>5.0456428147113508</v>
      </c>
      <c r="F28" s="30">
        <v>439.84909015535521</v>
      </c>
      <c r="G28" s="20"/>
    </row>
    <row r="29" spans="1:7" x14ac:dyDescent="0.2">
      <c r="A29" s="27">
        <v>1953</v>
      </c>
      <c r="B29" s="30">
        <v>3916.6691346241796</v>
      </c>
      <c r="C29" s="16">
        <v>22492.87409743547</v>
      </c>
      <c r="D29" s="16">
        <v>7187.8429745207077</v>
      </c>
      <c r="E29" s="31">
        <v>6.5047645043519271</v>
      </c>
      <c r="F29" s="30">
        <v>646.25040721298967</v>
      </c>
      <c r="G29" s="20"/>
    </row>
    <row r="30" spans="1:7" x14ac:dyDescent="0.2">
      <c r="A30" s="27">
        <v>1954</v>
      </c>
      <c r="B30" s="30">
        <v>4150.64124211328</v>
      </c>
      <c r="C30" s="16">
        <v>22168.855429785173</v>
      </c>
      <c r="D30" s="16">
        <v>7448.5887129298517</v>
      </c>
      <c r="E30" s="31">
        <v>6.1250051141506674</v>
      </c>
      <c r="F30" s="30">
        <v>684.85580494869123</v>
      </c>
      <c r="G30" s="20"/>
    </row>
    <row r="31" spans="1:7" x14ac:dyDescent="0.2">
      <c r="A31" s="27">
        <v>1955</v>
      </c>
      <c r="B31" s="30">
        <v>4396.5827912486984</v>
      </c>
      <c r="C31" s="16">
        <v>24436.591173879686</v>
      </c>
      <c r="D31" s="16">
        <v>7778.4047057486277</v>
      </c>
      <c r="E31" s="31">
        <v>5.9522994474347373</v>
      </c>
      <c r="F31" s="30">
        <v>1015.6106247784493</v>
      </c>
      <c r="G31" s="20"/>
    </row>
    <row r="32" spans="1:7" x14ac:dyDescent="0.2">
      <c r="A32" s="27">
        <v>1956</v>
      </c>
      <c r="B32" s="30">
        <v>4567.0399689497553</v>
      </c>
      <c r="C32" s="16">
        <v>33694.475214551043</v>
      </c>
      <c r="D32" s="16">
        <v>4708.992442679646</v>
      </c>
      <c r="E32" s="31">
        <v>6.4832930493258267</v>
      </c>
      <c r="F32" s="30">
        <v>1356.4108707780774</v>
      </c>
      <c r="G32" s="20"/>
    </row>
    <row r="33" spans="1:15" x14ac:dyDescent="0.2">
      <c r="A33" s="27">
        <v>1957</v>
      </c>
      <c r="B33" s="30">
        <v>4711.3743861163957</v>
      </c>
      <c r="C33" s="16">
        <v>43651.432551660095</v>
      </c>
      <c r="D33" s="16">
        <v>1805.7240151691044</v>
      </c>
      <c r="E33" s="31">
        <v>7.2724697023228861</v>
      </c>
      <c r="F33" s="30">
        <v>1539.2060119442265</v>
      </c>
      <c r="G33" s="20"/>
    </row>
    <row r="34" spans="1:15" x14ac:dyDescent="0.2">
      <c r="A34" s="27">
        <v>1958</v>
      </c>
      <c r="B34" s="30">
        <v>4825.0096174313321</v>
      </c>
      <c r="C34" s="16">
        <v>47448.201774871603</v>
      </c>
      <c r="D34" s="16">
        <v>322.41943017281642</v>
      </c>
      <c r="E34" s="31">
        <v>7.4440805619919246</v>
      </c>
      <c r="F34" s="30">
        <v>1592.2531737523398</v>
      </c>
      <c r="G34" s="20"/>
    </row>
    <row r="35" spans="1:15" x14ac:dyDescent="0.2">
      <c r="A35" s="27">
        <v>1959</v>
      </c>
      <c r="B35" s="30">
        <v>4835.140433241645</v>
      </c>
      <c r="C35" s="16">
        <v>52063.640696608622</v>
      </c>
      <c r="D35" s="16">
        <v>183.58203483043081</v>
      </c>
      <c r="E35" s="31">
        <v>8.1246091310582376</v>
      </c>
      <c r="F35" s="30">
        <v>1595.5963429697429</v>
      </c>
      <c r="G35" s="20"/>
    </row>
    <row r="36" spans="1:15" x14ac:dyDescent="0.2">
      <c r="A36" s="27">
        <v>1960</v>
      </c>
      <c r="B36" s="30">
        <v>4897.468137116919</v>
      </c>
      <c r="C36" s="16">
        <v>61701.789779808896</v>
      </c>
      <c r="D36" s="16">
        <v>297.47901952638136</v>
      </c>
      <c r="E36" s="31">
        <v>9.5183858829329431</v>
      </c>
      <c r="F36" s="30">
        <v>1616.1644852485833</v>
      </c>
      <c r="G36" s="20"/>
    </row>
    <row r="37" spans="1:15" x14ac:dyDescent="0.2">
      <c r="A37" s="27"/>
      <c r="C37" s="16"/>
      <c r="E37" s="31"/>
      <c r="F37" s="30"/>
      <c r="G37" s="30"/>
    </row>
    <row r="38" spans="1:15" x14ac:dyDescent="0.2">
      <c r="A38" s="87" t="s">
        <v>43</v>
      </c>
      <c r="B38" s="87"/>
      <c r="C38" s="87"/>
      <c r="D38" s="87"/>
      <c r="E38" s="87"/>
      <c r="F38" s="87"/>
      <c r="G38" s="87"/>
      <c r="H38" s="87"/>
      <c r="I38" s="87"/>
      <c r="J38" s="87"/>
      <c r="K38" s="87"/>
      <c r="L38" s="87"/>
      <c r="M38" s="87"/>
      <c r="N38" s="87"/>
      <c r="O38" s="87"/>
    </row>
    <row r="39" spans="1:15" x14ac:dyDescent="0.2">
      <c r="A39" s="87"/>
      <c r="B39" s="87"/>
      <c r="C39" s="87"/>
      <c r="D39" s="87"/>
      <c r="E39" s="87"/>
      <c r="F39" s="87"/>
      <c r="G39" s="87"/>
      <c r="H39" s="87"/>
      <c r="I39" s="87"/>
      <c r="J39" s="87"/>
      <c r="K39" s="87"/>
      <c r="L39" s="87"/>
      <c r="M39" s="87"/>
      <c r="N39" s="87"/>
      <c r="O39" s="87"/>
    </row>
    <row r="40" spans="1:15" x14ac:dyDescent="0.2">
      <c r="A40" s="87"/>
      <c r="B40" s="87"/>
      <c r="C40" s="87"/>
      <c r="D40" s="87"/>
      <c r="E40" s="87"/>
      <c r="F40" s="87"/>
      <c r="G40" s="87"/>
      <c r="H40" s="87"/>
      <c r="I40" s="87"/>
      <c r="J40" s="87"/>
      <c r="K40" s="87"/>
      <c r="L40" s="87"/>
      <c r="M40" s="87"/>
      <c r="N40" s="87"/>
      <c r="O40" s="87"/>
    </row>
    <row r="41" spans="1:15" x14ac:dyDescent="0.2">
      <c r="A41" s="87"/>
      <c r="B41" s="87"/>
      <c r="C41" s="87"/>
      <c r="D41" s="87"/>
      <c r="E41" s="87"/>
      <c r="F41" s="87"/>
      <c r="G41" s="87"/>
      <c r="H41" s="87"/>
      <c r="I41" s="87"/>
      <c r="J41" s="87"/>
      <c r="K41" s="87"/>
      <c r="L41" s="87"/>
      <c r="M41" s="87"/>
      <c r="N41" s="87"/>
      <c r="O41" s="87"/>
    </row>
    <row r="42" spans="1:15" x14ac:dyDescent="0.2">
      <c r="A42" s="27"/>
    </row>
    <row r="43" spans="1:15" x14ac:dyDescent="0.2">
      <c r="A43" s="27"/>
    </row>
    <row r="44" spans="1:15" x14ac:dyDescent="0.2">
      <c r="A44" s="27"/>
    </row>
    <row r="45" spans="1:15" x14ac:dyDescent="0.2">
      <c r="A45" s="27"/>
    </row>
    <row r="46" spans="1:15" x14ac:dyDescent="0.2">
      <c r="A46" s="27"/>
    </row>
    <row r="47" spans="1:15" x14ac:dyDescent="0.2">
      <c r="A47" s="27"/>
    </row>
    <row r="48" spans="1:15" x14ac:dyDescent="0.2">
      <c r="A48" s="27"/>
    </row>
    <row r="49" spans="1:1" x14ac:dyDescent="0.2">
      <c r="A49" s="27"/>
    </row>
    <row r="50" spans="1:1" x14ac:dyDescent="0.2">
      <c r="A50" s="27"/>
    </row>
    <row r="51" spans="1:1" x14ac:dyDescent="0.2">
      <c r="A51" s="27"/>
    </row>
  </sheetData>
  <mergeCells count="1">
    <mergeCell ref="A38:O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tabSelected="1" workbookViewId="0">
      <selection activeCell="N3" sqref="N3"/>
    </sheetView>
  </sheetViews>
  <sheetFormatPr baseColWidth="10" defaultRowHeight="12.75" x14ac:dyDescent="0.2"/>
  <cols>
    <col min="1" max="16384" width="11.42578125" style="57"/>
  </cols>
  <sheetData>
    <row r="1" spans="1:16" x14ac:dyDescent="0.2">
      <c r="A1" s="54" t="s">
        <v>47</v>
      </c>
    </row>
    <row r="2" spans="1:16" x14ac:dyDescent="0.2">
      <c r="A2" s="55" t="s">
        <v>60</v>
      </c>
    </row>
    <row r="3" spans="1:16" x14ac:dyDescent="0.2">
      <c r="A3" s="55" t="s">
        <v>46</v>
      </c>
    </row>
    <row r="4" spans="1:16" x14ac:dyDescent="0.2">
      <c r="A4" s="56" t="s">
        <v>48</v>
      </c>
    </row>
    <row r="5" spans="1:16" x14ac:dyDescent="0.2">
      <c r="A5" s="56" t="s">
        <v>49</v>
      </c>
    </row>
    <row r="6" spans="1:16" x14ac:dyDescent="0.2">
      <c r="A6" s="56" t="s">
        <v>50</v>
      </c>
    </row>
    <row r="7" spans="1:16" x14ac:dyDescent="0.2">
      <c r="A7" s="56" t="s">
        <v>51</v>
      </c>
    </row>
    <row r="8" spans="1:16" x14ac:dyDescent="0.2">
      <c r="A8" s="56" t="s">
        <v>52</v>
      </c>
    </row>
    <row r="9" spans="1:16" x14ac:dyDescent="0.2">
      <c r="A9" s="56" t="s">
        <v>53</v>
      </c>
    </row>
    <row r="10" spans="1:16" x14ac:dyDescent="0.2">
      <c r="A10" s="56" t="s">
        <v>54</v>
      </c>
    </row>
    <row r="11" spans="1:16" x14ac:dyDescent="0.2">
      <c r="A11" s="56" t="s">
        <v>55</v>
      </c>
    </row>
    <row r="12" spans="1:16" x14ac:dyDescent="0.2">
      <c r="A12" s="56" t="s">
        <v>56</v>
      </c>
    </row>
    <row r="14" spans="1:16" x14ac:dyDescent="0.2">
      <c r="A14" s="58" t="s">
        <v>45</v>
      </c>
    </row>
    <row r="15" spans="1:16" x14ac:dyDescent="0.2">
      <c r="A15" s="88" t="s">
        <v>57</v>
      </c>
      <c r="B15" s="88"/>
      <c r="C15" s="88"/>
      <c r="D15" s="88"/>
      <c r="E15" s="88"/>
      <c r="F15" s="88"/>
      <c r="G15" s="88"/>
      <c r="H15" s="88"/>
      <c r="I15" s="88"/>
      <c r="J15" s="88"/>
      <c r="K15" s="88"/>
      <c r="L15" s="88"/>
      <c r="M15" s="88"/>
      <c r="N15" s="88"/>
      <c r="O15" s="88"/>
      <c r="P15" s="88"/>
    </row>
    <row r="16" spans="1:16" x14ac:dyDescent="0.2">
      <c r="A16" s="88" t="s">
        <v>58</v>
      </c>
      <c r="B16" s="88"/>
      <c r="C16" s="88"/>
      <c r="D16" s="88"/>
      <c r="E16" s="88"/>
      <c r="F16" s="88"/>
      <c r="G16" s="88"/>
      <c r="H16" s="88"/>
      <c r="I16" s="88"/>
      <c r="J16" s="88"/>
      <c r="K16" s="88"/>
      <c r="L16" s="88"/>
      <c r="M16" s="88"/>
      <c r="N16" s="88"/>
      <c r="O16" s="88"/>
      <c r="P16" s="88"/>
    </row>
    <row r="17" spans="1:16" x14ac:dyDescent="0.2">
      <c r="A17" s="88" t="s">
        <v>59</v>
      </c>
      <c r="B17" s="88"/>
      <c r="C17" s="88"/>
      <c r="D17" s="88"/>
      <c r="E17" s="88"/>
      <c r="F17" s="88"/>
      <c r="G17" s="88"/>
      <c r="H17" s="88"/>
      <c r="I17" s="88"/>
      <c r="J17" s="88"/>
      <c r="K17" s="88"/>
      <c r="L17" s="88"/>
      <c r="M17" s="88"/>
      <c r="N17" s="88"/>
      <c r="O17" s="88"/>
      <c r="P17" s="88"/>
    </row>
    <row r="20" spans="1:16" x14ac:dyDescent="0.2">
      <c r="A20" s="89" t="s">
        <v>44</v>
      </c>
      <c r="B20" s="89"/>
      <c r="C20" s="89"/>
      <c r="D20" s="89"/>
      <c r="E20" s="89"/>
      <c r="F20" s="89"/>
      <c r="G20" s="89"/>
      <c r="H20" s="89"/>
      <c r="I20" s="89"/>
      <c r="J20" s="89"/>
      <c r="K20" s="89"/>
      <c r="L20" s="89"/>
      <c r="M20" s="89"/>
      <c r="N20" s="89"/>
      <c r="O20" s="89"/>
      <c r="P20" s="89"/>
    </row>
  </sheetData>
  <mergeCells count="4">
    <mergeCell ref="A15:P15"/>
    <mergeCell ref="A16:P16"/>
    <mergeCell ref="A17:P17"/>
    <mergeCell ref="A20:P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wages</vt:lpstr>
      <vt:lpstr>prices</vt:lpstr>
      <vt:lpstr>welfare ratios</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Tania</dc:creator>
  <cp:lastModifiedBy>Tania</cp:lastModifiedBy>
  <dcterms:created xsi:type="dcterms:W3CDTF">2017-01-09T14:40:59Z</dcterms:created>
  <dcterms:modified xsi:type="dcterms:W3CDTF">2017-01-10T14:22:35Z</dcterms:modified>
</cp:coreProperties>
</file>